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9.xml.rels" ContentType="application/vnd.openxmlformats-package.relationships+xml"/>
  <Override PartName="/xl/worksheets/_rels/sheet6.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_rels/externalLink1.xml.rels" ContentType="application/vnd.openxmlformats-package.relationships+xml"/>
  <Override PartName="/xl/externalLinks/externalLink1.xml" ContentType="application/vnd.openxmlformats-officedocument.spreadsheetml.externalLink+xml"/>
  <Override PartName="/xl/_rels/workbook.xml.rels" ContentType="application/vnd.openxmlformats-package.relationships+xml"/>
  <Override PartName="/xl/sharedStrings.xml" ContentType="application/vnd.openxmlformats-officedocument.spreadsheetml.sharedStrings+xml"/>
  <Override PartName="/xl/media/image11.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drawings/_rels/drawing4.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6"/>
  </bookViews>
  <sheets>
    <sheet name="Comments" sheetId="1" state="visible" r:id="rId2"/>
    <sheet name="1(Data)" sheetId="2" state="visible" r:id="rId3"/>
    <sheet name="2(Products)" sheetId="3" state="visible" r:id="rId4"/>
    <sheet name="3(Data providers)" sheetId="4" state="visible" r:id="rId5"/>
    <sheet name="4(Web services)" sheetId="5" state="visible" r:id="rId6"/>
    <sheet name="5(User stats)&amp;6(Use case stats)" sheetId="6" state="visible" r:id="rId7"/>
    <sheet name="7(Analytics)" sheetId="7" state="visible" r:id="rId8"/>
    <sheet name="8(User friendliness)" sheetId="8" state="visible" r:id="rId9"/>
    <sheet name="9-10-11(User stats)" sheetId="9" state="visible" r:id="rId10"/>
  </sheets>
  <externalReferences>
    <externalReference r:id="rId11"/>
  </externalReferences>
  <definedNames>
    <definedName function="false" hidden="false" localSheetId="1" name="_ftn3" vbProcedure="false">'1(Data)'!$A$32</definedName>
    <definedName function="false" hidden="false" localSheetId="1" name="_ftn6" vbProcedure="false">'1(Data)'!$A$36</definedName>
    <definedName function="false" hidden="false" localSheetId="1" name="_ftnref1" vbProcedure="false">'1(Data)'!$A$5</definedName>
    <definedName function="false" hidden="false" localSheetId="1" name="_ftnref2" vbProcedure="false">'1(Data)'!$B$5</definedName>
    <definedName function="false" hidden="false" localSheetId="1" name="_ftnref3" vbProcedure="false">'1(Data)'!$C$5</definedName>
    <definedName function="false" hidden="false" localSheetId="1" name="_ftnref4" vbProcedure="false">'1(Data)'!$P$5</definedName>
    <definedName function="false" hidden="false" localSheetId="1" name="_ftnref5" vbProcedure="false">'1(Data)'!$Q$5</definedName>
    <definedName function="false" hidden="false" localSheetId="1" name="_ftnref6" vbProcedure="false">'1(Data)'!$A$8</definedName>
    <definedName function="false" hidden="false" localSheetId="1" name="_Toc509591800" vbProcedure="false">'1(Data)'!$A$1</definedName>
    <definedName function="false" hidden="false" localSheetId="3" name="_Toc509591802" vbProcedure="false">'3(Data providers)'!$A$1</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<sst xmlns="http://schemas.openxmlformats.org/spreadsheetml/2006/main" count="1445" uniqueCount="472">
  <si>
    <t xml:space="preserve">Comments on the progress indicators in the excel template</t>
  </si>
  <si>
    <t xml:space="preserve">Progress indicator</t>
  </si>
  <si>
    <t xml:space="preserve">Comment </t>
  </si>
  <si>
    <t xml:space="preserve">1 Status/Volume and coverage of all available acquired data</t>
  </si>
  <si>
    <t xml:space="preserve">2 Status/Total number and the coverage of all built &amp; external data products</t>
  </si>
  <si>
    <t xml:space="preserve">Indicator 1: Current status and coverage of total available thematic data</t>
  </si>
  <si>
    <t xml:space="preserve">The purpose of this sheet is to provide a status overview of the different sub-theme data available on the portal and the download frequency by users</t>
  </si>
  <si>
    <t xml:space="preserve">On this sheet, there are 3 tables to fill in</t>
  </si>
  <si>
    <t xml:space="preserve">1.A) Volume and coverage of available data</t>
  </si>
  <si>
    <t xml:space="preserve">Reporting date</t>
  </si>
  <si>
    <t xml:space="preserve">Portal name</t>
  </si>
  <si>
    <t xml:space="preserve">Volume unit [1]</t>
  </si>
  <si>
    <t xml:space="preserve">Chemistry</t>
  </si>
  <si>
    <t xml:space="preserve">datasets (CDIs)</t>
  </si>
  <si>
    <r>
      <rPr>
        <b val="true"/>
        <sz val="10"/>
        <color rgb="FF333333"/>
        <rFont val="Open Sans"/>
        <family val="2"/>
        <charset val="1"/>
      </rPr>
      <t xml:space="preserve">Sub-theme </t>
    </r>
    <r>
      <rPr>
        <sz val="10"/>
        <color rgb="FF333333"/>
        <rFont val="Open Sans"/>
        <family val="2"/>
        <charset val="1"/>
      </rPr>
      <t xml:space="preserve">[2]</t>
    </r>
  </si>
  <si>
    <r>
      <rPr>
        <b val="true"/>
        <i val="true"/>
        <sz val="10"/>
        <color rgb="FF333333"/>
        <rFont val="Open Sans"/>
        <family val="2"/>
        <charset val="1"/>
      </rPr>
      <t xml:space="preserve">Total data</t>
    </r>
    <r>
      <rPr>
        <b val="true"/>
        <i val="true"/>
        <sz val="10"/>
        <color rgb="FFFF0000"/>
        <rFont val="Open Sans"/>
        <family val="2"/>
        <charset val="1"/>
      </rPr>
      <t xml:space="preserve"> </t>
    </r>
    <r>
      <rPr>
        <b val="true"/>
        <i val="true"/>
        <sz val="10"/>
        <color rgb="FF333333"/>
        <rFont val="Open Sans"/>
        <family val="2"/>
        <charset val="1"/>
      </rPr>
      <t xml:space="preserve">volume per sub-theme
(refer to footnote </t>
    </r>
    <r>
      <rPr>
        <sz val="10"/>
        <color rgb="FF333333"/>
        <rFont val="Open Sans"/>
        <family val="2"/>
        <charset val="1"/>
      </rPr>
      <t xml:space="preserve">[1]</t>
    </r>
    <r>
      <rPr>
        <b val="true"/>
        <i val="true"/>
        <sz val="10"/>
        <color rgb="FF333333"/>
        <rFont val="Open Sans"/>
        <family val="2"/>
        <charset val="1"/>
      </rPr>
      <t xml:space="preserve">)</t>
    </r>
  </si>
  <si>
    <r>
      <rPr>
        <b val="true"/>
        <i val="true"/>
        <sz val="10"/>
        <color rgb="FF333333"/>
        <rFont val="Open Sans"/>
        <family val="2"/>
        <charset val="1"/>
      </rPr>
      <t xml:space="preserve">Total data</t>
    </r>
    <r>
      <rPr>
        <b val="true"/>
        <i val="true"/>
        <sz val="10"/>
        <color rgb="FFFF0000"/>
        <rFont val="Open Sans"/>
        <family val="2"/>
        <charset val="1"/>
      </rPr>
      <t xml:space="preserve"> </t>
    </r>
    <r>
      <rPr>
        <b val="true"/>
        <i val="true"/>
        <sz val="10"/>
        <color rgb="FF333333"/>
        <rFont val="Open Sans"/>
        <family val="2"/>
        <charset val="1"/>
      </rPr>
      <t xml:space="preserve">volume per sub-theme (previous quarter)</t>
    </r>
  </si>
  <si>
    <r>
      <rPr>
        <b val="true"/>
        <i val="true"/>
        <sz val="10"/>
        <color rgb="FF333333"/>
        <rFont val="Open Sans"/>
        <family val="2"/>
        <charset val="1"/>
      </rPr>
      <t xml:space="preserve">Trend in total data volume (%) </t>
    </r>
    <r>
      <rPr>
        <sz val="10"/>
        <color rgb="FF333333"/>
        <rFont val="Open Sans"/>
        <family val="2"/>
        <charset val="1"/>
      </rPr>
      <t xml:space="preserve">[3]</t>
    </r>
  </si>
  <si>
    <r>
      <rPr>
        <b val="true"/>
        <i val="true"/>
        <sz val="10"/>
        <color rgb="FF333333"/>
        <rFont val="Open Sans"/>
        <family val="2"/>
        <charset val="1"/>
      </rPr>
      <t xml:space="preserve">Total data Volume in GigaBytes </t>
    </r>
    <r>
      <rPr>
        <sz val="10"/>
        <color rgb="FF333333"/>
        <rFont val="Open Sans"/>
        <family val="2"/>
        <charset val="1"/>
      </rPr>
      <t xml:space="preserve">[4]</t>
    </r>
  </si>
  <si>
    <t xml:space="preserve">REMARK: As discussed earlier with Secretariat it is not possible to monitor and report data volumes for CDIs </t>
  </si>
  <si>
    <r>
      <rPr>
        <b val="true"/>
        <sz val="12"/>
        <color rgb="FF333333"/>
        <rFont val="Open Sans"/>
        <family val="2"/>
        <charset val="1"/>
      </rPr>
      <t xml:space="preserve">Sea-basins </t>
    </r>
    <r>
      <rPr>
        <sz val="12"/>
        <color rgb="FF333333"/>
        <rFont val="Open Sans"/>
        <family val="2"/>
        <charset val="1"/>
      </rPr>
      <t xml:space="preserve">[5]</t>
    </r>
  </si>
  <si>
    <t xml:space="preserve">Atlantic (%)</t>
  </si>
  <si>
    <t xml:space="preserve">Arctic (%)</t>
  </si>
  <si>
    <t xml:space="preserve">Baltic (%)</t>
  </si>
  <si>
    <t xml:space="preserve">Black Sea (%)</t>
  </si>
  <si>
    <t xml:space="preserve">Med Sea (%)</t>
  </si>
  <si>
    <t xml:space="preserve">North Sea (%)</t>
  </si>
  <si>
    <t xml:space="preserve">Other Seas Phase IV (%)</t>
  </si>
  <si>
    <t xml:space="preserve">Sub-theme</t>
  </si>
  <si>
    <t xml:space="preserve">Total % area covered by all data</t>
  </si>
  <si>
    <t xml:space="preserve">% area covered by data added this quarter</t>
  </si>
  <si>
    <t xml:space="preserve">Acidity</t>
  </si>
  <si>
    <t xml:space="preserve">Antifoulants</t>
  </si>
  <si>
    <t xml:space="preserve">Chlorophyll</t>
  </si>
  <si>
    <t xml:space="preserve">Dissolved gasses</t>
  </si>
  <si>
    <t xml:space="preserve">Fertilisers</t>
  </si>
  <si>
    <t xml:space="preserve">Heavy metals</t>
  </si>
  <si>
    <t xml:space="preserve">Hydrocarbons</t>
  </si>
  <si>
    <t xml:space="preserve">Marine Litter</t>
  </si>
  <si>
    <t xml:space="preserve">Organic matter</t>
  </si>
  <si>
    <t xml:space="preserve">Pesticides and biocides</t>
  </si>
  <si>
    <t xml:space="preserve">Polychlorinated biphynyls</t>
  </si>
  <si>
    <t xml:space="preserve">Radionuclides</t>
  </si>
  <si>
    <t xml:space="preserve">Silicates</t>
  </si>
  <si>
    <t xml:space="preserve">Please highlight newly added data within this reporting period.</t>
  </si>
  <si>
    <t xml:space="preserve">[1] Indicate the volume unit of measurement: “records”, “data sets”, or “platforms”. </t>
  </si>
  <si>
    <t xml:space="preserve">[2] The list of sub-themes is provided in the first tab.</t>
  </si>
  <si>
    <t xml:space="preserve">[3] Trend is calculated from the figures at the end of the last quarter as compared with the figures at this stage.</t>
  </si>
  <si>
    <t xml:space="preserve">Explanation of trend value in the narrative.</t>
  </si>
  <si>
    <t xml:space="preserve">[4] The list of sub-themes is provided in the first tab and should be used to fill in column A under sub-themes.</t>
  </si>
  <si>
    <t xml:space="preserve">[5] Data Density: To calculate how much data available per sea-basin. Calculate total % area covered by all data; indicate % area covered by data added in this quarter (e.g.: 30% ; 5%).</t>
  </si>
  <si>
    <t xml:space="preserve">Please use the following figures: Atlantic 7.281.229 km²; Arctic 5.610.745 km²; Baltic 392.215 km²; Black Sea 473.894 km²; Mediterranean Sea 2.516.652 km²; North Sea 654.179 km².</t>
  </si>
  <si>
    <t xml:space="preserve">If you don't use the above sea-basin figures, please indicate why you do not use them, as from when, and what do you use instead and why?</t>
  </si>
  <si>
    <t xml:space="preserve">Provide detailed description of geospatial density of the data in the narrative.</t>
  </si>
  <si>
    <t xml:space="preserve">1.B) Usage of data in this quarter</t>
  </si>
  <si>
    <t xml:space="preserve">Trend on data</t>
  </si>
  <si>
    <t xml:space="preserve">Web service Trends [4]</t>
  </si>
  <si>
    <t xml:space="preserve">Name of sub-theme/ interface</t>
  </si>
  <si>
    <t xml:space="preserve">Breakdown of sub-theme</t>
  </si>
  <si>
    <r>
      <rPr>
        <sz val="10"/>
        <color rgb="FF333333"/>
        <rFont val="Open Sans"/>
        <family val="2"/>
        <charset val="1"/>
      </rPr>
      <t xml:space="preserve">Unit and Total Volume </t>
    </r>
    <r>
      <rPr>
        <b val="true"/>
        <sz val="10"/>
        <color rgb="FF333333"/>
        <rFont val="Open Sans"/>
        <family val="2"/>
        <charset val="1"/>
      </rPr>
      <t xml:space="preserve">available</t>
    </r>
    <r>
      <rPr>
        <sz val="10"/>
        <color rgb="FF333333"/>
        <rFont val="Open Sans"/>
        <family val="2"/>
        <charset val="1"/>
      </rPr>
      <t xml:space="preserve"> for download [1]</t>
    </r>
  </si>
  <si>
    <r>
      <rPr>
        <sz val="10"/>
        <color rgb="FF333333"/>
        <rFont val="Open Sans"/>
        <family val="2"/>
        <charset val="1"/>
      </rPr>
      <t xml:space="preserve">Total Volume </t>
    </r>
    <r>
      <rPr>
        <b val="true"/>
        <sz val="10"/>
        <color rgb="FF333333"/>
        <rFont val="Open Sans"/>
        <family val="2"/>
        <charset val="1"/>
      </rPr>
      <t xml:space="preserve">downloaded</t>
    </r>
    <r>
      <rPr>
        <sz val="10"/>
        <color rgb="FF333333"/>
        <rFont val="Open Sans"/>
        <family val="2"/>
        <charset val="1"/>
      </rPr>
      <t xml:space="preserve"> in GigaBytes [2]</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</si>
  <si>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t>
    </r>
    <r>
      <rPr>
        <sz val="10"/>
        <color rgb="FF333333"/>
        <rFont val="Open Sans"/>
        <family val="2"/>
        <charset val="1"/>
      </rPr>
      <t xml:space="preserve"> 
(</t>
    </r>
    <r>
      <rPr>
        <b val="true"/>
        <sz val="10"/>
        <color rgb="FF333333"/>
        <rFont val="Open Sans"/>
        <family val="2"/>
        <charset val="1"/>
      </rPr>
      <t xml:space="preserve">this quarter</t>
    </r>
    <r>
      <rPr>
        <sz val="10"/>
        <color rgb="FF333333"/>
        <rFont val="Open Sans"/>
        <family val="2"/>
        <charset val="1"/>
      </rPr>
      <t xml:space="preserve">)</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</si>
  <si>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
</t>
    </r>
    <r>
      <rPr>
        <sz val="10"/>
        <color rgb="FF333333"/>
        <rFont val="Open Sans"/>
        <family val="2"/>
        <charset val="1"/>
      </rPr>
      <t xml:space="preserve">(</t>
    </r>
    <r>
      <rPr>
        <b val="true"/>
        <sz val="10"/>
        <color rgb="FF333333"/>
        <rFont val="Open Sans"/>
        <family val="2"/>
        <charset val="1"/>
      </rPr>
      <t xml:space="preserve">previous quarter</t>
    </r>
    <r>
      <rPr>
        <sz val="10"/>
        <color rgb="FF333333"/>
        <rFont val="Open Sans"/>
        <family val="2"/>
        <charset val="1"/>
      </rPr>
      <t xml:space="preserve">)</t>
    </r>
  </si>
  <si>
    <r>
      <rPr>
        <i val="true"/>
        <sz val="10"/>
        <color rgb="FF333333"/>
        <rFont val="Open Sans"/>
        <family val="2"/>
        <charset val="1"/>
      </rPr>
      <t xml:space="preserve">Trend number of downloads (%) </t>
    </r>
    <r>
      <rPr>
        <sz val="10"/>
        <color rgb="FF333333"/>
        <rFont val="Open Sans"/>
        <family val="2"/>
        <charset val="1"/>
      </rPr>
      <t xml:space="preserve">[3]</t>
    </r>
  </si>
  <si>
    <r>
      <rPr>
        <sz val="10"/>
        <color rgb="FF333333"/>
        <rFont val="Open Sans"/>
        <family val="2"/>
        <charset val="1"/>
      </rPr>
      <t xml:space="preserve">Number of </t>
    </r>
    <r>
      <rPr>
        <b val="true"/>
        <sz val="10"/>
        <color rgb="FF333333"/>
        <rFont val="Open Sans"/>
        <family val="2"/>
        <charset val="1"/>
      </rPr>
      <t xml:space="preserve">Map</t>
    </r>
    <r>
      <rPr>
        <sz val="10"/>
        <color rgb="FF333333"/>
        <rFont val="Open Sans"/>
        <family val="2"/>
        <charset val="1"/>
      </rPr>
      <t xml:space="preserve"> </t>
    </r>
    <r>
      <rPr>
        <b val="true"/>
        <sz val="10"/>
        <color rgb="FF333333"/>
        <rFont val="Open Sans"/>
        <family val="2"/>
        <charset val="1"/>
      </rPr>
      <t xml:space="preserve">visualisations</t>
    </r>
    <r>
      <rPr>
        <sz val="10"/>
        <color rgb="FF333333"/>
        <rFont val="Open Sans"/>
        <family val="2"/>
        <charset val="1"/>
      </rPr>
      <t xml:space="preserve"> (this quarter)</t>
    </r>
  </si>
  <si>
    <t xml:space="preserve">Number of Map visualisations (previous quarter)</t>
  </si>
  <si>
    <r>
      <rPr>
        <i val="true"/>
        <sz val="10"/>
        <color rgb="FF333333"/>
        <rFont val="Open Sans"/>
        <family val="2"/>
        <charset val="1"/>
      </rPr>
      <t xml:space="preserve">Trend number of map visualisations (%) </t>
    </r>
    <r>
      <rPr>
        <sz val="10"/>
        <color rgb="FF333333"/>
        <rFont val="Open Sans"/>
        <family val="2"/>
        <charset val="1"/>
      </rPr>
      <t xml:space="preserve">[3]</t>
    </r>
  </si>
  <si>
    <r>
      <rPr>
        <sz val="10"/>
        <color rgb="FF333333"/>
        <rFont val="Open Sans"/>
        <family val="2"/>
        <charset val="1"/>
      </rPr>
      <t xml:space="preserve">Number of </t>
    </r>
    <r>
      <rPr>
        <b val="true"/>
        <sz val="10"/>
        <color rgb="FF333333"/>
        <rFont val="Open Sans"/>
        <family val="2"/>
        <charset val="1"/>
      </rPr>
      <t xml:space="preserve">WMS</t>
    </r>
    <r>
      <rPr>
        <sz val="10"/>
        <color rgb="FF333333"/>
        <rFont val="Open Sans"/>
        <family val="2"/>
        <charset val="1"/>
      </rPr>
      <t xml:space="preserve"> requests (this quarter)</t>
    </r>
  </si>
  <si>
    <t xml:space="preserve">Number of WMS requests 
(previous quarter)</t>
  </si>
  <si>
    <r>
      <rPr>
        <i val="true"/>
        <sz val="10"/>
        <color rgb="FF333333"/>
        <rFont val="Open Sans"/>
        <family val="2"/>
        <charset val="1"/>
      </rPr>
      <t xml:space="preserve">Trend number of WMS requests (%) </t>
    </r>
    <r>
      <rPr>
        <sz val="10"/>
        <color rgb="FF333333"/>
        <rFont val="Open Sans"/>
        <family val="2"/>
        <charset val="1"/>
      </rPr>
      <t xml:space="preserve">[3]</t>
    </r>
  </si>
  <si>
    <r>
      <rPr>
        <sz val="10"/>
        <color rgb="FF333333"/>
        <rFont val="Open Sans"/>
        <family val="2"/>
        <charset val="1"/>
      </rPr>
      <t xml:space="preserve">Number of </t>
    </r>
    <r>
      <rPr>
        <b val="true"/>
        <sz val="10"/>
        <color rgb="FF333333"/>
        <rFont val="Open Sans"/>
        <family val="2"/>
        <charset val="1"/>
      </rPr>
      <t xml:space="preserve">WFS</t>
    </r>
    <r>
      <rPr>
        <sz val="10"/>
        <color rgb="FF333333"/>
        <rFont val="Open Sans"/>
        <family val="2"/>
        <charset val="1"/>
      </rPr>
      <t xml:space="preserve"> requests 
(this quarter)</t>
    </r>
  </si>
  <si>
    <t xml:space="preserve">Number of WFS requests 
(previous quarter)</t>
  </si>
  <si>
    <r>
      <rPr>
        <i val="true"/>
        <sz val="10"/>
        <color rgb="FF333333"/>
        <rFont val="Open Sans"/>
        <family val="2"/>
        <charset val="1"/>
      </rPr>
      <t xml:space="preserve">Trend number of WFS requests (%) </t>
    </r>
    <r>
      <rPr>
        <sz val="10"/>
        <color rgb="FF333333"/>
        <rFont val="Open Sans"/>
        <family val="2"/>
        <charset val="1"/>
      </rPr>
      <t xml:space="preserve">[3]</t>
    </r>
  </si>
  <si>
    <t xml:space="preserve">CDI shopping web interface</t>
  </si>
  <si>
    <t xml:space="preserve">Data</t>
  </si>
  <si>
    <t xml:space="preserve">1077297 [CDIs]</t>
  </si>
  <si>
    <t xml:space="preserve">43001 [CDIs]</t>
  </si>
  <si>
    <t xml:space="preserve">NA</t>
  </si>
  <si>
    <t xml:space="preserve">.. [unit]</t>
  </si>
  <si>
    <t xml:space="preserve">[1] Indicate the total volume of downloadable items in relation to the unit in which they are downloadable (e.g. the total volume or number of CDIs/records/datasets/... available for download) – clearly specify the unit.</t>
  </si>
  <si>
    <t xml:space="preserve">[2] Decimal definition 1 GB = 1000^3 bytes.</t>
  </si>
  <si>
    <t xml:space="preserve">[3] Trend compares the result with previous period.</t>
  </si>
  <si>
    <t xml:space="preserve">[4] Specify the number (and not the %) of WMS/WFS requests, taking into account the measurement unit of Downloadable Volume. If not applicable, then write n.a.</t>
  </si>
  <si>
    <t xml:space="preserve">NB: OGC web services do not provide usage information. Therefore, map visualisations and WMS/WFS requests as reported in Indicator 1 and 2 is not applicable. Map viewer as a web service client sends view events to Matomo, so only for products map visualisations metrics is available</t>
  </si>
  <si>
    <t xml:space="preserve">Explanation of the trends and statistics</t>
  </si>
  <si>
    <t xml:space="preserve">1A) Volume and coverage of available data</t>
  </si>
  <si>
    <t xml:space="preserve">Several new data sets have been entered. Overall, this has resulted in a steady increase of data. There is also maintenance ongoing for marine litter entries which are being revised and will be re-added soon. </t>
  </si>
  <si>
    <t xml:space="preserve">1B) Usage of data in this quarter</t>
  </si>
  <si>
    <t xml:space="preserve">For CDIs, this quarter there are more than twice number of requests for CDI data files as in previous quarter. While number of users is almost the same as compared to previous quarter: 27 versus 26. </t>
  </si>
  <si>
    <t xml:space="preserve">Indicator 2: Current status and coverage of total number of data products</t>
  </si>
  <si>
    <t xml:space="preserve">The purpose of this sheet is to provide a status overview of the different sub-theme data products available on the portal and the download frequency by users</t>
  </si>
  <si>
    <t xml:space="preserve">2.A) Volume and coverage of available data products</t>
  </si>
  <si>
    <r>
      <rPr>
        <b val="true"/>
        <i val="true"/>
        <sz val="10"/>
        <color rgb="FF333333"/>
        <rFont val="Open Sans"/>
        <family val="2"/>
        <charset val="1"/>
      </rPr>
      <t xml:space="preserve">Total number of </t>
    </r>
    <r>
      <rPr>
        <b val="true"/>
        <i val="true"/>
        <u val="single"/>
        <sz val="10"/>
        <color rgb="FF333333"/>
        <rFont val="Open Sans"/>
        <family val="2"/>
        <charset val="1"/>
      </rPr>
      <t xml:space="preserve">built</t>
    </r>
    <r>
      <rPr>
        <b val="true"/>
        <i val="true"/>
        <sz val="10"/>
        <color rgb="FF333333"/>
        <rFont val="Open Sans"/>
        <family val="2"/>
        <charset val="1"/>
      </rPr>
      <t xml:space="preserve"> data products in portal </t>
    </r>
    <r>
      <rPr>
        <sz val="10"/>
        <color rgb="FF333333"/>
        <rFont val="Open Sans"/>
        <family val="2"/>
        <charset val="1"/>
      </rPr>
      <t xml:space="preserve">[1]</t>
    </r>
  </si>
  <si>
    <r>
      <rPr>
        <b val="true"/>
        <i val="true"/>
        <sz val="10"/>
        <color rgb="FF333333"/>
        <rFont val="Open Sans"/>
        <family val="2"/>
        <charset val="1"/>
      </rPr>
      <t xml:space="preserve">Total number of </t>
    </r>
    <r>
      <rPr>
        <b val="true"/>
        <i val="true"/>
        <u val="single"/>
        <sz val="10"/>
        <color rgb="FF333333"/>
        <rFont val="Open Sans"/>
        <family val="2"/>
        <charset val="1"/>
      </rPr>
      <t xml:space="preserve">external</t>
    </r>
    <r>
      <rPr>
        <b val="true"/>
        <i val="true"/>
        <sz val="10"/>
        <color rgb="FF333333"/>
        <rFont val="Open Sans"/>
        <family val="2"/>
        <charset val="1"/>
      </rPr>
      <t xml:space="preserve"> data products in portal </t>
    </r>
    <r>
      <rPr>
        <sz val="10"/>
        <color rgb="FF333333"/>
        <rFont val="Open Sans"/>
        <family val="2"/>
        <charset val="1"/>
      </rPr>
      <t xml:space="preserve">[1]</t>
    </r>
  </si>
  <si>
    <t xml:space="preserve">Name of the data product 
(description in the narrative)</t>
  </si>
  <si>
    <t xml:space="preserve">Date product was built/ updated</t>
  </si>
  <si>
    <t xml:space="preserve">Is the product built internally or externally?</t>
  </si>
  <si>
    <t xml:space="preserve">Total number of products per sub-theme</t>
  </si>
  <si>
    <r>
      <rPr>
        <b val="true"/>
        <i val="true"/>
        <sz val="10"/>
        <color rgb="FF333333"/>
        <rFont val="Open Sans"/>
        <family val="2"/>
        <charset val="1"/>
      </rPr>
      <t xml:space="preserve">Total number of products per sub-theme (previous quarter) </t>
    </r>
    <r>
      <rPr>
        <sz val="10"/>
        <color rgb="FF333333"/>
        <rFont val="Open Sans"/>
        <family val="2"/>
        <charset val="1"/>
      </rPr>
      <t xml:space="preserve">[2]</t>
    </r>
  </si>
  <si>
    <r>
      <rPr>
        <b val="true"/>
        <i val="true"/>
        <sz val="10"/>
        <color rgb="FF333333"/>
        <rFont val="Open Sans"/>
        <family val="2"/>
        <charset val="1"/>
      </rPr>
      <t xml:space="preserve">Trend in total number of products (%) </t>
    </r>
    <r>
      <rPr>
        <sz val="10"/>
        <color rgb="FF333333"/>
        <rFont val="Open Sans"/>
        <family val="2"/>
        <charset val="1"/>
      </rPr>
      <t xml:space="preserve">[3]</t>
    </r>
  </si>
  <si>
    <r>
      <rPr>
        <b val="true"/>
        <i val="true"/>
        <sz val="10"/>
        <color rgb="FF333333"/>
        <rFont val="Open Sans"/>
        <family val="2"/>
        <charset val="1"/>
      </rPr>
      <t xml:space="preserve">Total data product Volume in GigaBytes </t>
    </r>
    <r>
      <rPr>
        <sz val="10"/>
        <color rgb="FF333333"/>
        <rFont val="Open Sans"/>
        <family val="2"/>
        <charset val="1"/>
      </rPr>
      <t xml:space="preserve">[4]</t>
    </r>
  </si>
  <si>
    <t xml:space="preserve">Eutrophication DIVA and aggregated datasets. See the catalogue</t>
  </si>
  <si>
    <t xml:space="preserve">Fourth Phase</t>
  </si>
  <si>
    <t xml:space="preserve">Internally</t>
  </si>
  <si>
    <t xml:space="preserve">Marine litter</t>
  </si>
  <si>
    <t xml:space="preserve">Litter maps  and aggregated datasets. See the catalogue</t>
  </si>
  <si>
    <t xml:space="preserve">Contaminants and aggregated datasets. See the catalogue</t>
  </si>
  <si>
    <t xml:space="preserve">Third Phase, fourth phase</t>
  </si>
  <si>
    <t xml:space="preserve">Polychlorinated biphenyls</t>
  </si>
  <si>
    <t xml:space="preserve">n.a.</t>
  </si>
  <si>
    <t xml:space="preserve">[1] Third Phase is between 01/04/2019 and 30/09/2019. Fourth Phase is after 03/10/2020.</t>
  </si>
  <si>
    <t xml:space="preserve">[2] Counting has been changed, so we’ve recalculated the numbers.</t>
  </si>
  <si>
    <t xml:space="preserve">Other Seas (%)</t>
  </si>
  <si>
    <t xml:space="preserve">Other seas Phase IV (%)</t>
  </si>
  <si>
    <t xml:space="preserve">Total % covered by product</t>
  </si>
  <si>
    <t xml:space="preserve">% covered by products added this quarter</t>
  </si>
  <si>
    <t xml:space="preserve">Please highlight newly added data products within this reporting period.</t>
  </si>
  <si>
    <t xml:space="preserve">[1] Total number of (external) data products.</t>
  </si>
  <si>
    <t xml:space="preserve">[3] Explanation of trend value in the narrative.</t>
  </si>
  <si>
    <t xml:space="preserve">[4] Decimal definition 1 GB = 1000^3 bytes</t>
  </si>
  <si>
    <t xml:space="preserve">[5] Product Density: How much products available per sea-basin. Calculate total % area covered by all products; indicate % area covered by products added in this quarter (e.g.: 30% ; 5%).</t>
  </si>
  <si>
    <t xml:space="preserve">Provide detailed description of geospatial density of the products in the narrative.</t>
  </si>
  <si>
    <t xml:space="preserve">2.B) Usage of data products in this quarter</t>
  </si>
  <si>
    <t xml:space="preserve">Trend on data products</t>
  </si>
  <si>
    <t xml:space="preserve">Description</t>
  </si>
  <si>
    <t xml:space="preserve">Is it: a Data product or an External product?</t>
  </si>
  <si>
    <r>
      <rPr>
        <sz val="10"/>
        <color rgb="FF333333"/>
        <rFont val="Open Sans"/>
        <family val="2"/>
        <charset val="1"/>
      </rPr>
      <t xml:space="preserve">Unit and Total Volume </t>
    </r>
    <r>
      <rPr>
        <b val="true"/>
        <sz val="10"/>
        <color rgb="FF333333"/>
        <rFont val="Open Sans"/>
        <family val="2"/>
        <charset val="1"/>
      </rPr>
      <t xml:space="preserve">available</t>
    </r>
    <r>
      <rPr>
        <sz val="10"/>
        <color rgb="FF333333"/>
        <rFont val="Open Sans"/>
        <family val="2"/>
        <charset val="1"/>
      </rPr>
      <t xml:space="preserve"> for download [1] [Files]</t>
    </r>
  </si>
  <si>
    <r>
      <rPr>
        <sz val="10"/>
        <color rgb="FF333333"/>
        <rFont val="Open Sans"/>
        <family val="2"/>
        <charset val="1"/>
      </rPr>
      <t xml:space="preserve">Number of manual </t>
    </r>
    <r>
      <rPr>
        <b val="true"/>
        <sz val="10"/>
        <color rgb="FF333333"/>
        <rFont val="Open Sans"/>
        <family val="2"/>
        <charset val="1"/>
      </rPr>
      <t xml:space="preserve">downloads</t>
    </r>
    <r>
      <rPr>
        <sz val="10"/>
        <color rgb="FF333333"/>
        <rFont val="Open Sans"/>
        <family val="2"/>
        <charset val="1"/>
      </rPr>
      <t xml:space="preserve"> 
(</t>
    </r>
    <r>
      <rPr>
        <b val="true"/>
        <sz val="10"/>
        <color rgb="FF333333"/>
        <rFont val="Open Sans"/>
        <family val="2"/>
        <charset val="1"/>
      </rPr>
      <t xml:space="preserve">this quarter</t>
    </r>
    <r>
      <rPr>
        <sz val="10"/>
        <color rgb="FF333333"/>
        <rFont val="Open Sans"/>
        <family val="2"/>
        <charset val="1"/>
      </rPr>
      <t xml:space="preserve">) [Files]</t>
    </r>
  </si>
  <si>
    <r>
      <rPr>
        <sz val="10"/>
        <color rgb="FF333333"/>
        <rFont val="Open Sans"/>
        <family val="2"/>
        <charset val="1"/>
      </rPr>
      <t xml:space="preserve">Number of manual </t>
    </r>
    <r>
      <rPr>
        <b val="true"/>
        <sz val="10"/>
        <color rgb="FF333333"/>
        <rFont val="Open Sans"/>
        <family val="2"/>
        <charset val="1"/>
      </rPr>
      <t xml:space="preserve">downloads
</t>
    </r>
    <r>
      <rPr>
        <sz val="10"/>
        <color rgb="FF333333"/>
        <rFont val="Open Sans"/>
        <family val="2"/>
        <charset val="1"/>
      </rPr>
      <t xml:space="preserve">(</t>
    </r>
    <r>
      <rPr>
        <b val="true"/>
        <sz val="10"/>
        <color rgb="FF333333"/>
        <rFont val="Open Sans"/>
        <family val="2"/>
        <charset val="1"/>
      </rPr>
      <t xml:space="preserve">previous quarter</t>
    </r>
    <r>
      <rPr>
        <sz val="10"/>
        <color rgb="FF333333"/>
        <rFont val="Open Sans"/>
        <family val="2"/>
        <charset val="1"/>
      </rPr>
      <t xml:space="preserve">) [Files]</t>
    </r>
  </si>
  <si>
    <r>
      <rPr>
        <i val="true"/>
        <sz val="10"/>
        <color rgb="FF333333"/>
        <rFont val="Open Sans"/>
        <family val="2"/>
        <charset val="1"/>
      </rPr>
      <t xml:space="preserve">Trend # of manual downloads (%) </t>
    </r>
    <r>
      <rPr>
        <sz val="10"/>
        <color rgb="FF333333"/>
        <rFont val="Open Sans"/>
        <family val="2"/>
        <charset val="1"/>
      </rPr>
      <t xml:space="preserve">[3]</t>
    </r>
  </si>
  <si>
    <r>
      <rPr>
        <i val="true"/>
        <sz val="10"/>
        <color rgb="FF333333"/>
        <rFont val="Open Sans"/>
        <family val="2"/>
        <charset val="1"/>
      </rPr>
      <t xml:space="preserve">Trend # of map visualisations (%) </t>
    </r>
    <r>
      <rPr>
        <sz val="10"/>
        <color rgb="FF333333"/>
        <rFont val="Open Sans"/>
        <family val="2"/>
        <charset val="1"/>
      </rPr>
      <t xml:space="preserve">[3]</t>
    </r>
  </si>
  <si>
    <r>
      <rPr>
        <i val="true"/>
        <sz val="10"/>
        <color rgb="FF333333"/>
        <rFont val="Open Sans"/>
        <family val="2"/>
        <charset val="1"/>
      </rPr>
      <t xml:space="preserve">Trend # of WMS requests (%) </t>
    </r>
    <r>
      <rPr>
        <sz val="10"/>
        <color rgb="FF333333"/>
        <rFont val="Open Sans"/>
        <family val="2"/>
        <charset val="1"/>
      </rPr>
      <t xml:space="preserve">[3]</t>
    </r>
  </si>
  <si>
    <r>
      <rPr>
        <i val="true"/>
        <sz val="10"/>
        <color rgb="FF333333"/>
        <rFont val="Open Sans"/>
        <family val="2"/>
        <charset val="1"/>
      </rPr>
      <t xml:space="preserve">Trend # of WFS requests (%) </t>
    </r>
    <r>
      <rPr>
        <sz val="10"/>
        <color rgb="FF333333"/>
        <rFont val="Open Sans"/>
        <family val="2"/>
        <charset val="1"/>
      </rPr>
      <t xml:space="preserve">[3]</t>
    </r>
  </si>
  <si>
    <t xml:space="preserve">Map viewer / Product catalogue / DOI landing pages / webODV Data Explorer and Extractor</t>
  </si>
  <si>
    <t xml:space="preserve">Eutrophication DIVA and aggregated datasets</t>
  </si>
  <si>
    <t xml:space="preserve">Data product</t>
  </si>
  <si>
    <t xml:space="preserve">Dissolved gases</t>
  </si>
  <si>
    <t xml:space="preserve">Antifoulants, Hydrocarbons, Heavy metals, Polychlorinated biphenyls, Pesticides and biocides, Radionuclides</t>
  </si>
  <si>
    <t xml:space="preserve">Contaminants maps and aggregated datasets</t>
  </si>
  <si>
    <t xml:space="preserve">Map viewer / Product catalogue / DOI landing pages</t>
  </si>
  <si>
    <t xml:space="preserve">Beach litter maps and aggregated datasets</t>
  </si>
  <si>
    <t xml:space="preserve">Seafloor litter maps and aggregated datasets</t>
  </si>
  <si>
    <t xml:space="preserve">2A) Volume and coverage of available built &amp; acquired data products</t>
  </si>
  <si>
    <t xml:space="preserve">Many new and updated data products. Mainly Eutrophication DIVA products.</t>
  </si>
  <si>
    <t xml:space="preserve">2B) Usage of data products n this quarter</t>
  </si>
  <si>
    <t xml:space="preserve">There is a big increase in map visualisations, especially for ‘Silicates’. The same for manual downloads. especially for ‘contaminants’ sub-themes, but there is a download decrease for the marine litter products.
As for the total volume downloaded, we see that this time the highest value belongs to Acidity, not to Fertilisers, comparing to the previous report.</t>
  </si>
  <si>
    <t xml:space="preserve">Indicator 3: Organisations supplying/approached to supply data and data products within this quarter</t>
  </si>
  <si>
    <t xml:space="preserve">The purpose of this indicator is to have an oversight of the types of organisations supplying data and to measure the extent of restricted data</t>
  </si>
  <si>
    <t xml:space="preserve">List all organisations that have supplied data voluntarily or upon request/approach within this quarter</t>
  </si>
  <si>
    <t xml:space="preserve">Organisation name</t>
  </si>
  <si>
    <t xml:space="preserve">Organisation type [1]</t>
  </si>
  <si>
    <t xml:space="preserve">Country</t>
  </si>
  <si>
    <t xml:space="preserve">Approached or volunteered?</t>
  </si>
  <si>
    <t xml:space="preserve">Type of data sought/supplied: data, data product, both?</t>
  </si>
  <si>
    <t xml:space="preserve">Sub-theme(s)</t>
  </si>
  <si>
    <t xml:space="preserve">No of data sets (CDIs)</t>
  </si>
  <si>
    <t xml:space="preserve">% of restricted data [2] 
(or #restricted/# not restricted)</t>
  </si>
  <si>
    <t xml:space="preserve">If not supplied upon approaching: reason why? (reply from organisation)</t>
  </si>
  <si>
    <t xml:space="preserve">Flanders Marine Institute</t>
  </si>
  <si>
    <t xml:space="preserve">Academia/Research</t>
  </si>
  <si>
    <t xml:space="preserve">Belgium</t>
  </si>
  <si>
    <t xml:space="preserve">Volunteered</t>
  </si>
  <si>
    <t xml:space="preserve">Management Unit of North Sea and Scheldt Estuary Mathematical Models, Belgian Marine Data Centre</t>
  </si>
  <si>
    <t xml:space="preserve">Government/Public administration</t>
  </si>
  <si>
    <t xml:space="preserve">Bulgarian National Oceanographic Data Centre (BGODC), Institute of Oceanology</t>
  </si>
  <si>
    <t xml:space="preserve">Bulgaria</t>
  </si>
  <si>
    <t xml:space="preserve">Institute of Fishery Resources (IFR)</t>
  </si>
  <si>
    <t xml:space="preserve">National Institute of Meteorology and Hydrology, Bulgarian Academy of Sciences</t>
  </si>
  <si>
    <t xml:space="preserve">Institute of Oceanography and Fisheries</t>
  </si>
  <si>
    <t xml:space="preserve">Croatia</t>
  </si>
  <si>
    <t xml:space="preserve">ORION</t>
  </si>
  <si>
    <t xml:space="preserve">NGOs/Civil society</t>
  </si>
  <si>
    <t xml:space="preserve">Cyprus</t>
  </si>
  <si>
    <t xml:space="preserve">Aarhus University, Department of Bioscience, Marine Ecology Roskilde</t>
  </si>
  <si>
    <t xml:space="preserve">Denmark</t>
  </si>
  <si>
    <t xml:space="preserve">International Council for the Exploration of the Sea (ICES)</t>
  </si>
  <si>
    <t xml:space="preserve">Marine Systems Institute at Tallinn University of Technology</t>
  </si>
  <si>
    <t xml:space="preserve">Estonia</t>
  </si>
  <si>
    <t xml:space="preserve">Geological Survey of Estonia</t>
  </si>
  <si>
    <t xml:space="preserve">Finnish Environment Institute</t>
  </si>
  <si>
    <t xml:space="preserve">Finland</t>
  </si>
  <si>
    <t xml:space="preserve">Finnish Meteorological Institute</t>
  </si>
  <si>
    <t xml:space="preserve">BRGM / Office of Geological and Mining Resources</t>
  </si>
  <si>
    <t xml:space="preserve">France</t>
  </si>
  <si>
    <t xml:space="preserve">IFREMER / IDM / SISMER - Scientific Information Systems for the SEA</t>
  </si>
  <si>
    <t xml:space="preserve">Iv.Javakhishvili Tbilisi State University, Centre of Relations with UNESCO Oceanological Research Centre and GeoDNA (UNESCO)</t>
  </si>
  <si>
    <t xml:space="preserve">Georgia</t>
  </si>
  <si>
    <t xml:space="preserve">National Environmental Agency of the Ministry of Environment Protection and Natural Resources</t>
  </si>
  <si>
    <t xml:space="preserve">Scientific - Research Firm GAMMA""</t>
  </si>
  <si>
    <t xml:space="preserve">Business and Private company</t>
  </si>
  <si>
    <t xml:space="preserve">German Oceanographic Datacentre</t>
  </si>
  <si>
    <t xml:space="preserve">Germany</t>
  </si>
  <si>
    <t xml:space="preserve">PANGAEA - Data Publisher for Earth &amp; Environmental Science</t>
  </si>
  <si>
    <t xml:space="preserve">Hellenic Centre for Marine Research, Hellenic National Oceanographic Data Centre (HCMR/HNODC)</t>
  </si>
  <si>
    <t xml:space="preserve">Greece</t>
  </si>
  <si>
    <t xml:space="preserve">Marine Institute</t>
  </si>
  <si>
    <t xml:space="preserve">Ireland</t>
  </si>
  <si>
    <t xml:space="preserve">Israel Oceanographic and Limnological Research (IOLR)</t>
  </si>
  <si>
    <t xml:space="preserve">Israel</t>
  </si>
  <si>
    <t xml:space="preserve">CNR, Institute of Marine Sciences S.S. of Lerici (SP)</t>
  </si>
  <si>
    <t xml:space="preserve">Italy</t>
  </si>
  <si>
    <t xml:space="preserve">CNR, Institute of Atmospheric Sciences and Climate (ISAC) (Rome)</t>
  </si>
  <si>
    <t xml:space="preserve">CNR, Institute of Marine Science (ISMAR) - Ancona</t>
  </si>
  <si>
    <t xml:space="preserve">ENEA Centro Ricerche Ambiente Marino - La Spezia</t>
  </si>
  <si>
    <t xml:space="preserve">Institute for Marine Biological Resources and Biotechnology - Ancona</t>
  </si>
  <si>
    <t xml:space="preserve">ISPRA-Institute for Environmental Protection and Research</t>
  </si>
  <si>
    <t xml:space="preserve">OGS (Istituto Nazionale di Oceanografia e di Geofisica Sperimentale), Division of Oceanography</t>
  </si>
  <si>
    <t xml:space="preserve">Faculty of Geography and Earth Sciences, University of Latvia (LU)</t>
  </si>
  <si>
    <t xml:space="preserve">Latvia</t>
  </si>
  <si>
    <t xml:space="preserve">Latvian Institute of Aquatic Ecology</t>
  </si>
  <si>
    <t xml:space="preserve">Institute of Geology and Geography of Nature Research Centre</t>
  </si>
  <si>
    <t xml:space="preserve">Lithuania</t>
  </si>
  <si>
    <t xml:space="preserve">International Ocean Institute - Malta Operational Centre (University Of Malta) / Physical Oceanography Unit</t>
  </si>
  <si>
    <t xml:space="preserve">Malta</t>
  </si>
  <si>
    <t xml:space="preserve">Institute of Marine Biology (IMBK)</t>
  </si>
  <si>
    <t xml:space="preserve">Montenegro</t>
  </si>
  <si>
    <t xml:space="preserve">National Institute of Fisheries Research (INRH)</t>
  </si>
  <si>
    <t xml:space="preserve">Morocco</t>
  </si>
  <si>
    <t xml:space="preserve">NIOZ Royal Netherlands Institute for Sea Research</t>
  </si>
  <si>
    <t xml:space="preserve">Netherlands</t>
  </si>
  <si>
    <t xml:space="preserve">Rijkswaterstaat Water, Traffic and Environment</t>
  </si>
  <si>
    <t xml:space="preserve">Institute of Marine Research - Norwegian Marine Data Centre (NMD)</t>
  </si>
  <si>
    <t xml:space="preserve">Norway</t>
  </si>
  <si>
    <t xml:space="preserve">Institute of Meteorology and Water Management National Research Institute, Maritime Branch in Gdynia (IMWM MB)</t>
  </si>
  <si>
    <t xml:space="preserve">Poland</t>
  </si>
  <si>
    <t xml:space="preserve">Polish Geological Institute - National Research Institute, Branch of Marine Geology (PGI BMG)</t>
  </si>
  <si>
    <t xml:space="preserve">IHPT, Hydrographic Institute</t>
  </si>
  <si>
    <t xml:space="preserve">Portugal</t>
  </si>
  <si>
    <t xml:space="preserve">Portuguese Institute of Ocean and Atmosphere</t>
  </si>
  <si>
    <t xml:space="preserve">National Institute for Marine Research and Development Grigore Antipa""</t>
  </si>
  <si>
    <t xml:space="preserve">Romania</t>
  </si>
  <si>
    <t xml:space="preserve">All-Russia Research Institute of Hydrometeorological Information - World Data Centre (RIHMI-WDC) National Oceanographic Data Centre (NODC)</t>
  </si>
  <si>
    <t xml:space="preserve">Russian Federation</t>
  </si>
  <si>
    <t xml:space="preserve">P.P.Shirshov Institute of Oceanology, RAS</t>
  </si>
  <si>
    <t xml:space="preserve">Russian State Hydrometeorological University, St-Petersburg</t>
  </si>
  <si>
    <t xml:space="preserve">State Oceanographic Institute (SOI)</t>
  </si>
  <si>
    <t xml:space="preserve">National Institute of Biology - Marine Biology Station</t>
  </si>
  <si>
    <t xml:space="preserve">Slovenia</t>
  </si>
  <si>
    <t xml:space="preserve">IEO/ Spanish Oceanographic Institute</t>
  </si>
  <si>
    <t xml:space="preserve">Spain</t>
  </si>
  <si>
    <t xml:space="preserve">Swedish Meteorological and Hydrological Institute</t>
  </si>
  <si>
    <t xml:space="preserve">Sweden</t>
  </si>
  <si>
    <t xml:space="preserve">Institut National des Sciences et Technologies de la Mer - INSTM</t>
  </si>
  <si>
    <t xml:space="preserve">Tunisia</t>
  </si>
  <si>
    <t xml:space="preserve">Ankara University</t>
  </si>
  <si>
    <t xml:space="preserve">Turkey</t>
  </si>
  <si>
    <t xml:space="preserve">Dokuz Eylul University, Institute of Marine Science and Technology</t>
  </si>
  <si>
    <t xml:space="preserve">Institute of Marine Sciences, Middle East Technical University</t>
  </si>
  <si>
    <t xml:space="preserve">Istanbul University, Institute of Marine Science and Management</t>
  </si>
  <si>
    <t xml:space="preserve">Karadeniz Technical University, Faculty of Marine Sciences</t>
  </si>
  <si>
    <t xml:space="preserve">Sinop University, Fisheries Faculty</t>
  </si>
  <si>
    <t xml:space="preserve">Danube Hydro-meteorological Observatory</t>
  </si>
  <si>
    <t xml:space="preserve">Ukraine</t>
  </si>
  <si>
    <t xml:space="preserve">Institute of Biology of the Southern Seas, NAS of Ukraine</t>
  </si>
  <si>
    <t xml:space="preserve">Marine Hydrophysical Institute</t>
  </si>
  <si>
    <t xml:space="preserve">Odessa National I.I.Mechnikov University</t>
  </si>
  <si>
    <t xml:space="preserve">Ukrainian Hydrometeorological Institute - Marine Branch</t>
  </si>
  <si>
    <t xml:space="preserve">Ukrainian scientific center of Ecology of Sea (UkrSCES)</t>
  </si>
  <si>
    <t xml:space="preserve">British Oceanographic Data Centre</t>
  </si>
  <si>
    <t xml:space="preserve">United Kingdom</t>
  </si>
  <si>
    <t xml:space="preserve">[1] The organisation types are: </t>
  </si>
  <si>
    <t xml:space="preserve">TOTAL</t>
  </si>
  <si>
    <t xml:space="preserve">Others</t>
  </si>
  <si>
    <t xml:space="preserve">[2] Restricted data is defined as 'non-public data'. </t>
  </si>
  <si>
    <t xml:space="preserve">3) Organisations supplying/ approached to supply data and data products</t>
  </si>
  <si>
    <t xml:space="preserve">Several new data sets have been entered by a number of data providers. Overall, this has resulted in a steady increase of data.</t>
  </si>
  <si>
    <t xml:space="preserve">Indicator 4: Online 'Web' interfaces to access or view data</t>
  </si>
  <si>
    <t xml:space="preserve">The purpose of this indicator is to provide detail on the status of the various interfaces to data &amp; products on the portals</t>
  </si>
  <si>
    <t xml:space="preserve">Express as a percentage data and products available in each service</t>
  </si>
  <si>
    <t xml:space="preserve">Please refer to "Explanation of the trends and statistics" below</t>
  </si>
  <si>
    <t xml:space="preserve">Machine Interface 
(Data accessed programmatically - Software that would receive data/data products/external data products through software)</t>
  </si>
  <si>
    <t xml:space="preserve">Sub-theme/ interface name</t>
  </si>
  <si>
    <t xml:space="preserve">WMS</t>
  </si>
  <si>
    <t xml:space="preserve">WFS</t>
  </si>
  <si>
    <t xml:space="preserve">WCS</t>
  </si>
  <si>
    <t xml:space="preserve">CSW</t>
  </si>
  <si>
    <t xml:space="preserve">OpeNDAP</t>
  </si>
  <si>
    <t xml:space="preserve">Were there any changes compared to the previous quarter?</t>
  </si>
  <si>
    <t xml:space="preserve">Search and Download data</t>
  </si>
  <si>
    <t xml:space="preserve">https://geoservice.maris.nl/wms/seadatanet/
EMODnet_chemistry?service=
WMS&amp;request=GetCapabilities</t>
  </si>
  <si>
    <t xml:space="preserve">No</t>
  </si>
  <si>
    <t xml:space="preserve">Data product catalogue</t>
  </si>
  <si>
    <t xml:space="preserve">https://sextant.ifremer.fr/geonetwork/srv/eng/ csw-EMODNET_Chemistry?SERVICE=CSW&amp;REQUEST=GetCapabilities</t>
  </si>
  <si>
    <t xml:space="preserve">http://opendap.oceanbrowser.net/thredds/catalog/data/emodnet-domains/catalog.html , and also as XML at http://opendap.oceanbrowser.net/thredds/catalog/data/emodnet-domains/catalog.xml </t>
  </si>
  <si>
    <t xml:space="preserve">Map viewer</t>
  </si>
  <si>
    <t xml:space="preserve">https://ec.oceanbrowser.net/emodnet/Python/web/wms 
https://ec.oceanbrowser.net/emodnet-projects/Python/web/wms?basedir=Phase-3/Combined 
https://www.ifremer.fr/services/wms/emodnet_chemistry2 
https://nodc.ogs.trieste.it/geoserver/Contaminants/wms 
https://geo-service.maris.nl/emodnet_chemistry/wms 
https://geo-service.maris.nl/emodnet_chemistry_p36/wms</t>
  </si>
  <si>
    <t xml:space="preserve">https://www.ifremer.fr/services/wfs/emodnet_chemistry2 
https://nodc.ogs.trieste.it/geoserver/Contaminants/wfs 
https://geo-service.maris.nl/emodnet_chemistry/wfs</t>
  </si>
  <si>
    <t xml:space="preserve">4) Online 'Web' interfaces to access or view data</t>
  </si>
  <si>
    <t xml:space="preserve">No changes in this period.</t>
  </si>
  <si>
    <t xml:space="preserve">Indicator 5: Statistics on information volunteered through download forms</t>
  </si>
  <si>
    <t xml:space="preserve">The purpose of this indicator is to gauge the extent of the dedicated community</t>
  </si>
  <si>
    <t xml:space="preserve">Data derived from the portal's download form(s)</t>
  </si>
  <si>
    <r>
      <rPr>
        <b val="true"/>
        <sz val="10"/>
        <color rgb="FF333333"/>
        <rFont val="Open Sans"/>
        <family val="2"/>
        <charset val="1"/>
      </rPr>
      <t xml:space="preserve">Interfaces</t>
    </r>
    <r>
      <rPr>
        <sz val="10"/>
        <color rgb="FF333333"/>
        <rFont val="Open Sans"/>
        <family val="2"/>
        <charset val="1"/>
      </rPr>
      <t xml:space="preserve"> [1]</t>
    </r>
  </si>
  <si>
    <t xml:space="preserve">Means of information collection</t>
  </si>
  <si>
    <t xml:space="preserve">Number of users giving information [2]</t>
  </si>
  <si>
    <t xml:space="preserve">Total number of users for quarterly period</t>
  </si>
  <si>
    <t xml:space="preserve">Total number of users since start of Phase III (optional)</t>
  </si>
  <si>
    <t xml:space="preserve">Data – CDI service</t>
  </si>
  <si>
    <t xml:space="preserve">Shopping form</t>
  </si>
  <si>
    <t xml:space="preserve">Organisation type</t>
  </si>
  <si>
    <t xml:space="preserve">% of users [3]</t>
  </si>
  <si>
    <t xml:space="preserve">Main use cases and application areas [4]</t>
  </si>
  <si>
    <t xml:space="preserve">Research</t>
  </si>
  <si>
    <t xml:space="preserve">Environmental Management</t>
  </si>
  <si>
    <t xml:space="preserve">Countries and regions [5]</t>
  </si>
  <si>
    <t xml:space="preserve">% of users [6]</t>
  </si>
  <si>
    <t xml:space="preserve">Albania</t>
  </si>
  <si>
    <t xml:space="preserve">Andorra</t>
  </si>
  <si>
    <t xml:space="preserve">Armenia</t>
  </si>
  <si>
    <t xml:space="preserve">Austria</t>
  </si>
  <si>
    <t xml:space="preserve">Azerbaijan</t>
  </si>
  <si>
    <t xml:space="preserve">Belarus</t>
  </si>
  <si>
    <t xml:space="preserve">Bosnia and Herzegovina</t>
  </si>
  <si>
    <t xml:space="preserve">Czech Republic (Czechia)</t>
  </si>
  <si>
    <t xml:space="preserve">Hungary</t>
  </si>
  <si>
    <t xml:space="preserve">Iceland</t>
  </si>
  <si>
    <t xml:space="preserve">Liechtenstein</t>
  </si>
  <si>
    <t xml:space="preserve">Luxembourg</t>
  </si>
  <si>
    <t xml:space="preserve">Moldova</t>
  </si>
  <si>
    <t xml:space="preserve">Monaco</t>
  </si>
  <si>
    <t xml:space="preserve">North Macedonia</t>
  </si>
  <si>
    <t xml:space="preserve">Russia</t>
  </si>
  <si>
    <t xml:space="preserve">San Marino</t>
  </si>
  <si>
    <t xml:space="preserve">Serbia</t>
  </si>
  <si>
    <t xml:space="preserve">Slovakia</t>
  </si>
  <si>
    <t xml:space="preserve">Switzerland</t>
  </si>
  <si>
    <t xml:space="preserve">Vatican City</t>
  </si>
  <si>
    <t xml:space="preserve">Sum European countries</t>
  </si>
  <si>
    <t xml:space="preserve">Asia</t>
  </si>
  <si>
    <t xml:space="preserve">North America</t>
  </si>
  <si>
    <t xml:space="preserve">South America</t>
  </si>
  <si>
    <t xml:space="preserve">Central America</t>
  </si>
  <si>
    <t xml:space="preserve">Oceania</t>
  </si>
  <si>
    <t xml:space="preserve">Africa</t>
  </si>
  <si>
    <t xml:space="preserve">Total number of users </t>
  </si>
  <si>
    <t xml:space="preserve">Data products – Map viewer</t>
  </si>
  <si>
    <t xml:space="preserve">Download form</t>
  </si>
  <si>
    <t xml:space="preserve">Number of users </t>
  </si>
  <si>
    <t xml:space="preserve">Education/Research
Commercial/Industry
Personal use
Other (Part of emodnet project, looking at what others have made for high resolution products)</t>
  </si>
  <si>
    <t xml:space="preserve">Education/Research</t>
  </si>
  <si>
    <t xml:space="preserve">Commercial/Industry
Personal use</t>
  </si>
  <si>
    <t xml:space="preserve">Education/Research
Personal use</t>
  </si>
  <si>
    <t xml:space="preserve">Other</t>
  </si>
  <si>
    <t xml:space="preserve">Unknown</t>
  </si>
  <si>
    <t xml:space="preserve">Data products – Catalogue</t>
  </si>
  <si>
    <r>
      <rPr>
        <sz val="10"/>
        <color rgb="FF333333"/>
        <rFont val="Arial"/>
        <family val="2"/>
        <charset val="1"/>
      </rPr>
      <t xml:space="preserve">Education/Research
</t>
    </r>
    <r>
      <rPr>
        <sz val="10"/>
        <color rgb="FF333333"/>
        <rFont val="Open Sans"/>
        <family val="2"/>
        <charset val="1"/>
      </rPr>
      <t xml:space="preserve">Personal use</t>
    </r>
  </si>
  <si>
    <t xml:space="preserve">Policy making
Education/Research
Personal use</t>
  </si>
  <si>
    <t xml:space="preserve">Commercial/Industry</t>
  </si>
  <si>
    <r>
      <rPr>
        <sz val="10"/>
        <color rgb="FF333333"/>
        <rFont val="Arial"/>
        <family val="2"/>
        <charset val="1"/>
      </rPr>
      <t xml:space="preserve">Education/Research
</t>
    </r>
    <r>
      <rPr>
        <sz val="10"/>
        <color rgb="FF333333"/>
        <rFont val="Open Sans"/>
        <family val="2"/>
        <charset val="1"/>
      </rPr>
      <t xml:space="preserve">Other (Making an assessment)</t>
    </r>
  </si>
  <si>
    <t xml:space="preserve">Personal use</t>
  </si>
  <si>
    <t xml:space="preserve">Data products – DOI landing page</t>
  </si>
  <si>
    <t xml:space="preserve">Education/Research
Personal use
Commercial/Industry</t>
  </si>
  <si>
    <t xml:space="preserve">Personal use
Commercial/Industry
Education/Research</t>
  </si>
  <si>
    <t xml:space="preserve">Education/Research
Personal use
Other
Policy making</t>
  </si>
  <si>
    <t xml:space="preserve">Commercial/Industry
Personal use
Education/Research</t>
  </si>
  <si>
    <t xml:space="preserve">Data products (Aggregated Datasets) – 
webODV Data Explorer and Extractor</t>
  </si>
  <si>
    <t xml:space="preserve">Education/Research
Policy making</t>
  </si>
  <si>
    <t xml:space="preserve">Personal use
Policy making</t>
  </si>
  <si>
    <t xml:space="preserve">[1] Which portal interfaces are concerned by the table statistics: e.g. map viewer, data download service? Some interfaces like web-services are not well suited for user information gathering and can be reported in a separate table.</t>
  </si>
  <si>
    <t xml:space="preserve">[2] Relevant when the user form is optional.</t>
  </si>
  <si>
    <t xml:space="preserve">[3] Percentage of users which belong to this organisation type.</t>
  </si>
  <si>
    <t xml:space="preserve">[4] Compile a bullet-point list of use cases from user form or oral feedback. A few words per use-case suffice. These use cases can be repeated in each interface table.</t>
  </si>
  <si>
    <t xml:space="preserve">[5] Distribution of users per region. European countries taken from https://europa.eu/european-union/about-eu/countries_en</t>
  </si>
  <si>
    <t xml:space="preserve">[6] Percentage of users belonging to this region.</t>
  </si>
  <si>
    <t xml:space="preserve">Indicator 6: Published use cases</t>
  </si>
  <si>
    <t xml:space="preserve">Refer to the guidance provided by the EMODnet Secretariat ("EMODnet Use Cases: Guidance and Procedures")</t>
  </si>
  <si>
    <t xml:space="preserve">Use case title</t>
  </si>
  <si>
    <t xml:space="preserve">Release date</t>
  </si>
  <si>
    <t xml:space="preserve">Number of views on Portal in reporting period (if applicable)</t>
  </si>
  <si>
    <t xml:space="preserve">Appears in Central Portal</t>
  </si>
  <si>
    <t xml:space="preserve">Number of views on Central Portal in reporting period</t>
  </si>
  <si>
    <t xml:space="preserve">EMODnet &amp; CMEMS together to build a framework for improving land boundary conditions in CMEMS regional products</t>
  </si>
  <si>
    <t xml:space="preserve">Yes</t>
  </si>
  <si>
    <t xml:space="preserve">EMODnet Chemistry contributed to EC IMPACT ASSESSMENT (Reducing Marine Litter: action on single use plastics and fishing gear)</t>
  </si>
  <si>
    <t xml:space="preserve">EMODnet Chemistry contributes to UNEP/ Map Quality Status Report 2017</t>
  </si>
  <si>
    <t xml:space="preserve">EMODnet Chemistry infrastructure: the pillar of the HarmoNIA visualization tools</t>
  </si>
  <si>
    <t xml:space="preserve">EMODnet Chemistry supports the analysis of EU baselines</t>
  </si>
  <si>
    <t xml:space="preserve">EMODnet compliance with the INSPIRE Directive: a matter of fact</t>
  </si>
  <si>
    <t xml:space="preserve">ICES and EMODnet Chemistry providing a comprehensive European data source for the European Environment Agency</t>
  </si>
  <si>
    <t xml:space="preserve">Joint Copernicus Marine &amp; EMODnet catalogue: Chemistry contribution (23/06/2021)</t>
  </si>
  <si>
    <t xml:space="preserve">15 [1]</t>
  </si>
  <si>
    <t xml:space="preserve">The first EU ML quantitative Threshold value by using EMODnet Chemistry data</t>
  </si>
  <si>
    <t xml:space="preserve">Use of EMODnet Chemistry data to improve Quality Control guidelines: synergies between different initiatives</t>
  </si>
  <si>
    <t xml:space="preserve">EMODnet Chemistry contributed to the Joint List of Litter Categories for Marine Macrolitter Monitoring (16/04/2021)</t>
  </si>
  <si>
    <t xml:space="preserve">[1] This number is based on Matomo. Trust-IT is still reviewing our feedback regarding their reported number (0).</t>
  </si>
  <si>
    <t xml:space="preserve">5) Statistics on information volunteered through download forms</t>
  </si>
  <si>
    <t xml:space="preserve">Data – CDI service: Number of users is almost the same as in previous quarter, however with twice as much CDIs requested as before.
While in other interfaces the 'Academia/Research' is very dominant, we see that it's less dominant and we see higher numbers from other organisation types in the 'Data products – Catalogue' and the 'Data products – DOI landing page' (accessibile mainly from the Catalogue). 
We see higher numbers of downloads from Asia in ‘Data products – Map viewer’ and ‘Data products – Catalogue’</t>
  </si>
  <si>
    <t xml:space="preserve">6) Published use cases</t>
  </si>
  <si>
    <t xml:space="preserve">New use case was published in the last week of the reported period. It was sent also to the Central Portal, but as of June, It wasn’t published yet.</t>
  </si>
  <si>
    <t xml:space="preserve">Indicator 7: Portal &amp; Social Media visibility </t>
  </si>
  <si>
    <t xml:space="preserve">7.1 Visibility &amp; Analytics (Portal overview)</t>
  </si>
  <si>
    <t xml:space="preserve">Analytics tool</t>
  </si>
  <si>
    <t xml:space="preserve">Matomo</t>
  </si>
  <si>
    <t xml:space="preserve">7.2 SEO assessment - Acquisitions</t>
  </si>
  <si>
    <t xml:space="preserve">Indicator 8.1: Technical monitoring </t>
  </si>
  <si>
    <t xml:space="preserve">Indicator 8.2: Portal user-friendliness: visual harmonisation score</t>
  </si>
  <si>
    <t xml:space="preserve">The scores are provided by Trust-IT</t>
  </si>
  <si>
    <t xml:space="preserve">8.2 Visual Harmonisation score</t>
  </si>
  <si>
    <t xml:space="preserve">Visual harmonisation  score</t>
  </si>
  <si>
    <t xml:space="preserve">Harmonisation elements</t>
  </si>
  <si>
    <r>
      <rPr>
        <i val="true"/>
        <sz val="10"/>
        <color rgb="FF333333"/>
        <rFont val="Open Sans"/>
        <family val="2"/>
        <charset val="1"/>
      </rPr>
      <t xml:space="preserve">Score [1]
</t>
    </r>
    <r>
      <rPr>
        <sz val="10"/>
        <color rgb="FF333333"/>
        <rFont val="Open Sans"/>
        <family val="2"/>
        <charset val="1"/>
      </rPr>
      <t xml:space="preserve">(3 1 0)</t>
    </r>
  </si>
  <si>
    <r>
      <rPr>
        <i val="true"/>
        <sz val="10"/>
        <color rgb="FF333333"/>
        <rFont val="Open Sans"/>
        <family val="2"/>
        <charset val="1"/>
      </rPr>
      <t xml:space="preserve">Trend
</t>
    </r>
    <r>
      <rPr>
        <sz val="10"/>
        <color rgb="FF333333"/>
        <rFont val="Open Sans"/>
        <family val="2"/>
        <charset val="1"/>
      </rPr>
      <t xml:space="preserve">(+ - =)</t>
    </r>
  </si>
  <si>
    <t xml:space="preserve">Logo usage</t>
  </si>
  <si>
    <t xml:space="preserve">subtotal</t>
  </si>
  <si>
    <t xml:space="preserve">(+ - =)</t>
  </si>
  <si>
    <t xml:space="preserve">Logo position</t>
  </si>
  <si>
    <t xml:space="preserve">=</t>
  </si>
  <si>
    <t xml:space="preserve">Logo type</t>
  </si>
  <si>
    <t xml:space="preserve">Logo size</t>
  </si>
  <si>
    <t xml:space="preserve">Logo url</t>
  </si>
  <si>
    <t xml:space="preserve">Font usage</t>
  </si>
  <si>
    <t xml:space="preserve"> 15/15</t>
  </si>
  <si>
    <t xml:space="preserve">Font type</t>
  </si>
  <si>
    <t xml:space="preserve">Font usage (capital letters, etc.)</t>
  </si>
  <si>
    <t xml:space="preserve">Font spacing</t>
  </si>
  <si>
    <t xml:space="preserve">Font colour</t>
  </si>
  <si>
    <t xml:space="preserve">Font justification</t>
  </si>
  <si>
    <t xml:space="preserve">Webportal header</t>
  </si>
  <si>
    <t xml:space="preserve"> 17/21</t>
  </si>
  <si>
    <t xml:space="preserve">Pattern usage</t>
  </si>
  <si>
    <t xml:space="preserve">The header width should not be full screen. See Central portal</t>
  </si>
  <si>
    <t xml:space="preserve">Header size</t>
  </si>
  <si>
    <t xml:space="preserve">Search box </t>
  </si>
  <si>
    <t xml:space="preserve">there is no search box. It has to be like the one in the central portal</t>
  </si>
  <si>
    <t xml:space="preserve">-</t>
  </si>
  <si>
    <t xml:space="preserve">Contact Us button</t>
  </si>
  <si>
    <t xml:space="preserve">Submit Data button</t>
  </si>
  <si>
    <t xml:space="preserve">Favicon </t>
  </si>
  <si>
    <t xml:space="preserve">+</t>
  </si>
  <si>
    <t xml:space="preserve">Stripline colour</t>
  </si>
  <si>
    <t xml:space="preserve">Footer structure</t>
  </si>
  <si>
    <t xml:space="preserve"> 20/21</t>
  </si>
  <si>
    <t xml:space="preserve">Footer size</t>
  </si>
  <si>
    <t xml:space="preserve">Footer elements</t>
  </si>
  <si>
    <t xml:space="preserve">Footer visuals</t>
  </si>
  <si>
    <t xml:space="preserve">The footer width should not be full screen. See Central portal</t>
  </si>
  <si>
    <t xml:space="preserve">EC Acknowledgement</t>
  </si>
  <si>
    <t xml:space="preserve">EC flag</t>
  </si>
  <si>
    <t xml:space="preserve">Link to social media</t>
  </si>
  <si>
    <t xml:space="preserve">Social Media icons</t>
  </si>
  <si>
    <t xml:space="preserve">Policy Privacy</t>
  </si>
  <si>
    <t xml:space="preserve">Presence</t>
  </si>
  <si>
    <t xml:space="preserve">GDPR compliant [2]</t>
  </si>
  <si>
    <t xml:space="preserve">Main menu</t>
  </si>
  <si>
    <t xml:space="preserve">User experience </t>
  </si>
  <si>
    <t xml:space="preserve">Sub menu </t>
  </si>
  <si>
    <t xml:space="preserve">Menu tabs terminology</t>
  </si>
  <si>
    <t xml:space="preserve">Menu size</t>
  </si>
  <si>
    <t xml:space="preserve">Responsive</t>
  </si>
  <si>
    <t xml:space="preserve">[1] Compliant with the visual guidelines (3pt), Not completely compliant with the visual guidelines (1pt), Not compliant (0 pt).</t>
  </si>
  <si>
    <t xml:space="preserve">[2]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</si>
  <si>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r>
      <rPr>
        <b val="true"/>
        <sz val="9"/>
        <color rgb="FF333333"/>
        <rFont val="Open Sans"/>
        <family val="2"/>
        <charset val="1"/>
      </rPr>
      <t xml:space="preserve">SSL: </t>
    </r>
    <r>
      <rPr>
        <sz val="9"/>
        <color rgb="FF333333"/>
        <rFont val="Open Sans"/>
        <family val="2"/>
        <charset val="1"/>
      </rPr>
      <t xml:space="preserve">The website </t>
    </r>
    <r>
      <rPr>
        <b val="true"/>
        <sz val="9"/>
        <color rgb="FF333333"/>
        <rFont val="Open Sans"/>
        <family val="2"/>
        <charset val="1"/>
      </rPr>
      <t xml:space="preserve">MUST</t>
    </r>
    <r>
      <rPr>
        <sz val="9"/>
        <color rgb="FF333333"/>
        <rFont val="Open Sans"/>
        <family val="2"/>
        <charset val="1"/>
      </rPr>
      <t xml:space="preserve"> have an SSL Certificate</t>
    </r>
  </si>
  <si>
    <r>
      <rPr>
        <b val="true"/>
        <sz val="9"/>
        <color rgb="FF333333"/>
        <rFont val="Open Sans"/>
        <family val="2"/>
        <charset val="1"/>
      </rPr>
      <t xml:space="preserve">Cookies: </t>
    </r>
    <r>
      <rPr>
        <sz val="9"/>
        <color rgb="FF333333"/>
        <rFont val="Open Sans"/>
        <family val="2"/>
        <charset val="1"/>
      </rPr>
      <t xml:space="preserve">The Cookies notification must be visible</t>
    </r>
  </si>
  <si>
    <t xml:space="preserve">Forms: </t>
  </si>
  <si>
    <t xml:space="preserve">All webforms must have checkboxes stating “I accept the Privacy Policy” with a link to the Privacy Policy</t>
  </si>
  <si>
    <t xml:space="preserve">All webforms must clearly indicate what mailing service is used and it has to be reported in the Privacy Policy</t>
  </si>
  <si>
    <t xml:space="preserve">Where a Newsletter signup exists, the website needs to indicate WHY user’s personal data is collected</t>
  </si>
  <si>
    <t xml:space="preserve">Layout:</t>
  </si>
  <si>
    <t xml:space="preserve">The Privacy Policy must be linked in all the webpages</t>
  </si>
  <si>
    <t xml:space="preserve">8.1) Technical monitoring</t>
  </si>
  <si>
    <t xml:space="preserve">Excellent.</t>
  </si>
  <si>
    <t xml:space="preserve">8.2) Visual Harmonisation score</t>
  </si>
  <si>
    <t xml:space="preserve">There is no change in the good harmonisation score.</t>
  </si>
  <si>
    <t xml:space="preserve">Indicator 9: Visibility &amp; Analytics for web pages</t>
  </si>
  <si>
    <t xml:space="preserve">Indicator 10: Visibility &amp; Analytics for web sections</t>
  </si>
  <si>
    <t xml:space="preserve">Indicator 11: Average visit duration for web pages</t>
  </si>
  <si>
    <t xml:space="preserve">9) Visibility &amp; analytics for web pages</t>
  </si>
  <si>
    <t xml:space="preserve">Due to Matomo issue, there is no data for the first week of the reported period. Home page became the most visited page. There is a big increase. Also the products page is more visited compared to the previous period. Less need for the Help page.</t>
  </si>
  <si>
    <t xml:space="preserve">10) Visibility &amp; analytics for web sections</t>
  </si>
  <si>
    <t xml:space="preserve">Due to Matomo issue, there is no data for the first week of the reported period. Also in the web sections graph we see more traffic for Home and Products.</t>
  </si>
  <si>
    <t xml:space="preserve">11) Average visit duration for web pages</t>
  </si>
  <si>
    <t xml:space="preserve">Due to Matomo issue, there is no data for the first week of the reported period. Data web page continues to be the one with higher visit duration. </t>
  </si>
</sst>
</file>

<file path=xl/styles.xml><?xml version="1.0" encoding="utf-8"?>
<styleSheet xmlns="http://schemas.openxmlformats.org/spreadsheetml/2006/main">
  <numFmts count="9">
    <numFmt numFmtId="164" formatCode="General"/>
    <numFmt numFmtId="165" formatCode="General"/>
    <numFmt numFmtId="166" formatCode="dd/mm/yyyy"/>
    <numFmt numFmtId="167" formatCode="dd/mm/yy"/>
    <numFmt numFmtId="168" formatCode="0.00"/>
    <numFmt numFmtId="169" formatCode="0.000"/>
    <numFmt numFmtId="170" formatCode="0.00%"/>
    <numFmt numFmtId="171" formatCode="[$-410]dd/mm/yyyy"/>
    <numFmt numFmtId="172" formatCode="d/m"/>
  </numFmts>
  <fonts count="43">
    <font>
      <sz val="11"/>
      <color rgb="FF000000"/>
      <name val="Calibri"/>
      <family val="2"/>
      <charset val="1"/>
    </font>
    <font>
      <sz val="10"/>
      <name val="Arial"/>
      <family val="0"/>
    </font>
    <font>
      <sz val="10"/>
      <name val="Arial"/>
      <family val="0"/>
    </font>
    <font>
      <sz val="10"/>
      <name val="Arial"/>
      <family val="0"/>
    </font>
    <font>
      <sz val="11"/>
      <color rgb="FF000000"/>
      <name val="Open Sans"/>
      <family val="2"/>
      <charset val="1"/>
    </font>
    <font>
      <b val="true"/>
      <sz val="12"/>
      <color rgb="FFFFFFFF"/>
      <name val="Open Sans"/>
      <family val="2"/>
      <charset val="1"/>
    </font>
    <font>
      <sz val="10"/>
      <color rgb="FFFFFFFF"/>
      <name val="Open Sans"/>
      <family val="2"/>
      <charset val="1"/>
    </font>
    <font>
      <sz val="9"/>
      <color rgb="FF333333"/>
      <name val="Open Sans"/>
      <family val="2"/>
      <charset val="1"/>
    </font>
    <font>
      <sz val="8"/>
      <color rgb="FF333333"/>
      <name val="Open Sans"/>
      <family val="2"/>
      <charset val="1"/>
    </font>
    <font>
      <sz val="10"/>
      <color rgb="FF333333"/>
      <name val="Open Sans"/>
      <family val="2"/>
      <charset val="1"/>
    </font>
    <font>
      <sz val="11"/>
      <color rgb="FF333333"/>
      <name val="Open Sans"/>
      <family val="2"/>
      <charset val="1"/>
    </font>
    <font>
      <b val="true"/>
      <sz val="12"/>
      <color rgb="FF333333"/>
      <name val="Open Sans"/>
      <family val="2"/>
      <charset val="1"/>
    </font>
    <font>
      <i val="true"/>
      <sz val="10"/>
      <color rgb="FF2F5597"/>
      <name val="Open Sans"/>
      <family val="2"/>
      <charset val="1"/>
    </font>
    <font>
      <b val="true"/>
      <sz val="11"/>
      <color rgb="FF333333"/>
      <name val="Open Sans"/>
      <family val="2"/>
      <charset val="1"/>
    </font>
    <font>
      <b val="true"/>
      <sz val="10"/>
      <color rgb="FF333333"/>
      <name val="Open Sans"/>
      <family val="2"/>
      <charset val="1"/>
    </font>
    <font>
      <i val="true"/>
      <sz val="10"/>
      <color rgb="FF333333"/>
      <name val="Open Sans"/>
      <family val="2"/>
      <charset val="1"/>
    </font>
    <font>
      <sz val="11"/>
      <color rgb="FFFF0000"/>
      <name val="Open Sans"/>
      <family val="2"/>
      <charset val="1"/>
    </font>
    <font>
      <b val="true"/>
      <i val="true"/>
      <sz val="10"/>
      <color rgb="FF333333"/>
      <name val="Open Sans"/>
      <family val="2"/>
      <charset val="1"/>
    </font>
    <font>
      <b val="true"/>
      <i val="true"/>
      <sz val="10"/>
      <color rgb="FFFF0000"/>
      <name val="Open Sans"/>
      <family val="2"/>
      <charset val="1"/>
    </font>
    <font>
      <sz val="12"/>
      <color rgb="FF333333"/>
      <name val="Open Sans"/>
      <family val="2"/>
      <charset val="1"/>
    </font>
    <font>
      <sz val="9"/>
      <color rgb="FF7030A0"/>
      <name val="Open Sans"/>
      <family val="2"/>
      <charset val="1"/>
    </font>
    <font>
      <sz val="10"/>
      <color rgb="FFFF0000"/>
      <name val="Open Sans"/>
      <family val="2"/>
      <charset val="1"/>
    </font>
    <font>
      <b val="true"/>
      <sz val="9"/>
      <color rgb="FF333333"/>
      <name val="Open Sans"/>
      <family val="2"/>
      <charset val="1"/>
    </font>
    <font>
      <b val="true"/>
      <i val="true"/>
      <u val="single"/>
      <sz val="10"/>
      <color rgb="FF333333"/>
      <name val="Open Sans"/>
      <family val="2"/>
      <charset val="1"/>
    </font>
    <font>
      <i val="true"/>
      <sz val="10"/>
      <color rgb="FF333333"/>
      <name val="Open Sans"/>
      <family val="0"/>
      <charset val="1"/>
    </font>
    <font>
      <sz val="11"/>
      <color rgb="FFA6A6A6"/>
      <name val="Open Sans"/>
      <family val="2"/>
      <charset val="1"/>
    </font>
    <font>
      <sz val="10"/>
      <color rgb="FF333333"/>
      <name val="Arial"/>
      <family val="2"/>
      <charset val="1"/>
    </font>
    <font>
      <sz val="10"/>
      <name val="Open Sans"/>
      <family val="2"/>
      <charset val="1"/>
    </font>
    <font>
      <strike val="true"/>
      <sz val="10"/>
      <color rgb="FF333333"/>
      <name val="Open Sans"/>
      <family val="2"/>
      <charset val="1"/>
    </font>
    <font>
      <sz val="10"/>
      <name val="Calibri"/>
      <family val="2"/>
      <charset val="1"/>
    </font>
    <font>
      <sz val="10"/>
      <color rgb="FF333333"/>
      <name val="Open Sans"/>
      <family val="0"/>
      <charset val="1"/>
    </font>
    <font>
      <sz val="10"/>
      <color rgb="FF333333"/>
      <name val="Times New Roman"/>
      <family val="1"/>
      <charset val="1"/>
    </font>
    <font>
      <sz val="9"/>
      <color rgb="FF000000"/>
      <name val="Open Sans"/>
      <family val="0"/>
      <charset val="1"/>
    </font>
    <font>
      <sz val="9"/>
      <color rgb="FF000000"/>
      <name val="Open Sans"/>
      <family val="2"/>
      <charset val="1"/>
    </font>
    <font>
      <sz val="11"/>
      <color rgb="FF000000"/>
      <name val="Calibri"/>
      <family val="0"/>
    </font>
    <font>
      <i val="true"/>
      <sz val="10"/>
      <name val="Open Sans"/>
      <family val="2"/>
      <charset val="1"/>
    </font>
    <font>
      <b val="true"/>
      <sz val="10"/>
      <color rgb="FF333333"/>
      <name val="Open Sans"/>
      <family val="0"/>
      <charset val="1"/>
    </font>
    <font>
      <i val="true"/>
      <sz val="11"/>
      <color rgb="FF333333"/>
      <name val="Open Sans"/>
      <family val="0"/>
      <charset val="1"/>
    </font>
    <font>
      <sz val="11"/>
      <color rgb="FF333333"/>
      <name val="Open Sans"/>
      <family val="0"/>
      <charset val="1"/>
    </font>
    <font>
      <sz val="9"/>
      <color rgb="FF333333"/>
      <name val="Open Sans"/>
      <family val="0"/>
      <charset val="1"/>
    </font>
    <font>
      <sz val="11"/>
      <color rgb="FF333333"/>
      <name val="Calibri"/>
      <family val="0"/>
      <charset val="1"/>
    </font>
    <font>
      <sz val="9"/>
      <color rgb="FF000000"/>
      <name val="Calibri"/>
      <family val="0"/>
      <charset val="1"/>
    </font>
    <font>
      <b val="true"/>
      <sz val="9"/>
      <color rgb="FF333333"/>
      <name val="Open Sans"/>
      <family val="0"/>
      <charset val="1"/>
    </font>
  </fonts>
  <fills count="7">
    <fill>
      <patternFill patternType="none"/>
    </fill>
    <fill>
      <patternFill patternType="gray125"/>
    </fill>
    <fill>
      <patternFill patternType="solid">
        <fgColor rgb="FF0A71B4"/>
        <bgColor rgb="FF008080"/>
      </patternFill>
    </fill>
    <fill>
      <patternFill patternType="solid">
        <fgColor rgb="FFDAEEF3"/>
        <bgColor rgb="FFCCFFFF"/>
      </patternFill>
    </fill>
    <fill>
      <patternFill patternType="solid">
        <fgColor rgb="FF5B9BD5"/>
        <bgColor rgb="FF4BACC6"/>
      </patternFill>
    </fill>
    <fill>
      <patternFill patternType="solid">
        <fgColor rgb="FFC27BA0"/>
        <bgColor rgb="FFD5A6BD"/>
      </patternFill>
    </fill>
    <fill>
      <patternFill patternType="solid">
        <fgColor rgb="FFD5A6BD"/>
        <bgColor rgb="FFCC99FF"/>
      </patternFill>
    </fill>
  </fills>
  <borders count="11">
    <border diagonalUp="false" diagonalDown="false">
      <left/>
      <right/>
      <top/>
      <bottom/>
      <diagonal/>
    </border>
    <border diagonalUp="false" diagonalDown="false">
      <left style="medium">
        <color rgb="FF4BACC6"/>
      </left>
      <right style="medium">
        <color rgb="FF4BACC6"/>
      </right>
      <top style="medium">
        <color rgb="FF4BACC6"/>
      </top>
      <bottom style="medium">
        <color rgb="FF4BACC6"/>
      </bottom>
      <diagonal/>
    </border>
    <border diagonalUp="false" diagonalDown="false">
      <left style="medium">
        <color rgb="FF92CDDC"/>
      </left>
      <right style="medium">
        <color rgb="FF92CDDC"/>
      </right>
      <top/>
      <bottom style="medium">
        <color rgb="FF92CDDC"/>
      </bottom>
      <diagonal/>
    </border>
    <border diagonalUp="false" diagonalDown="false">
      <left/>
      <right style="medium">
        <color rgb="FF92CDDC"/>
      </right>
      <top/>
      <bottom style="medium">
        <color rgb="FF92CDDC"/>
      </bottom>
      <diagonal/>
    </border>
    <border diagonalUp="false" diagonalDown="false">
      <left style="medium">
        <color rgb="FF92CDDC"/>
      </left>
      <right style="medium">
        <color rgb="FF92CDDC"/>
      </right>
      <top style="medium">
        <color rgb="FF92CDDC"/>
      </top>
      <bottom/>
      <diagonal/>
    </border>
    <border diagonalUp="false" diagonalDown="false">
      <left style="medium">
        <color rgb="FF92CDDC"/>
      </left>
      <right style="medium">
        <color rgb="FF92CDDC"/>
      </right>
      <top style="medium">
        <color rgb="FF92CDDC"/>
      </top>
      <bottom style="medium">
        <color rgb="FF92CDDC"/>
      </bottom>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style="hair"/>
      <right style="hair"/>
      <top style="hair"/>
      <bottom style="hair"/>
      <diagonal/>
    </border>
    <border diagonalUp="false" diagonalDown="false">
      <left style="thin"/>
      <right/>
      <top style="thin"/>
      <bottom style="thin"/>
      <diagonal/>
    </border>
    <border diagonalUp="false" diagonalDown="false">
      <left style="thin"/>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58">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2" borderId="1" xfId="0" applyFont="true" applyBorder="true" applyAlignment="true" applyProtection="false">
      <alignment horizontal="center" vertical="center" textRotation="0" wrapText="true" indent="0" shrinkToFit="false"/>
      <protection locked="true" hidden="false"/>
    </xf>
    <xf numFmtId="164" fontId="6" fillId="2" borderId="2" xfId="0" applyFont="true" applyBorder="true" applyAlignment="true" applyProtection="false">
      <alignment horizontal="general" vertical="center" textRotation="0" wrapText="true" indent="0" shrinkToFit="false"/>
      <protection locked="true" hidden="false"/>
    </xf>
    <xf numFmtId="164" fontId="6" fillId="2" borderId="3" xfId="0" applyFont="true" applyBorder="true" applyAlignment="true" applyProtection="false">
      <alignment horizontal="general" vertical="center" textRotation="0" wrapText="true" indent="0" shrinkToFit="false"/>
      <protection locked="true" hidden="false"/>
    </xf>
    <xf numFmtId="164" fontId="7" fillId="0" borderId="4" xfId="0" applyFont="true" applyBorder="true" applyAlignment="true" applyProtection="false">
      <alignment horizontal="justify" vertical="center" textRotation="0" wrapText="true" indent="0" shrinkToFit="false"/>
      <protection locked="true" hidden="false"/>
    </xf>
    <xf numFmtId="164" fontId="7" fillId="0" borderId="4" xfId="0" applyFont="true" applyBorder="true" applyAlignment="true" applyProtection="false">
      <alignment horizontal="general" vertical="center" textRotation="0" wrapText="true" indent="0" shrinkToFit="false"/>
      <protection locked="true" hidden="false"/>
    </xf>
    <xf numFmtId="165" fontId="7" fillId="0" borderId="2" xfId="0" applyFont="true" applyBorder="true" applyAlignment="true" applyProtection="false">
      <alignment horizontal="general" vertical="center" textRotation="0" wrapText="true" indent="0" shrinkToFit="false"/>
      <protection locked="true" hidden="false"/>
    </xf>
    <xf numFmtId="164" fontId="7" fillId="3" borderId="5" xfId="0" applyFont="true" applyBorder="true" applyAlignment="true" applyProtection="false">
      <alignment horizontal="left" vertical="center" textRotation="0" wrapText="true" indent="0" shrinkToFit="false"/>
      <protection locked="true" hidden="false"/>
    </xf>
    <xf numFmtId="164" fontId="7" fillId="3" borderId="2" xfId="0" applyFont="true" applyBorder="true" applyAlignment="true" applyProtection="false">
      <alignment horizontal="justify" vertical="center" textRotation="0" wrapText="true" indent="0" shrinkToFit="false"/>
      <protection locked="true" hidden="false"/>
    </xf>
    <xf numFmtId="165" fontId="7" fillId="0" borderId="3" xfId="0" applyFont="true" applyBorder="true" applyAlignment="true" applyProtection="false">
      <alignment horizontal="justify" vertical="center" textRotation="0" wrapText="true" indent="0" shrinkToFit="false"/>
      <protection locked="true" hidden="false"/>
    </xf>
    <xf numFmtId="165" fontId="7" fillId="3" borderId="3" xfId="0" applyFont="true" applyBorder="true" applyAlignment="true" applyProtection="false">
      <alignment horizontal="justify" vertical="center" textRotation="0" wrapText="true" indent="0" shrinkToFit="false"/>
      <protection locked="true" hidden="false"/>
    </xf>
    <xf numFmtId="164" fontId="8" fillId="0" borderId="0" xfId="0" applyFont="true" applyBorder="false" applyAlignment="true" applyProtection="false">
      <alignment horizontal="justify"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false" indent="0" shrinkToFit="false"/>
      <protection locked="true" hidden="false"/>
    </xf>
    <xf numFmtId="164" fontId="10" fillId="0" borderId="0" xfId="0" applyFont="true" applyBorder="false" applyAlignment="true" applyProtection="false">
      <alignment horizontal="general" vertical="top" textRotation="0" wrapText="false" indent="0" shrinkToFit="false"/>
      <protection locked="true" hidden="false"/>
    </xf>
    <xf numFmtId="164" fontId="11" fillId="0" borderId="0" xfId="0" applyFont="true" applyBorder="false" applyAlignment="true" applyProtection="false">
      <alignment horizontal="general" vertical="top"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13" fillId="3" borderId="0" xfId="0" applyFont="true" applyBorder="true" applyAlignment="true" applyProtection="false">
      <alignment horizontal="general" vertical="top" textRotation="0" wrapText="false" indent="0" shrinkToFit="false"/>
      <protection locked="true" hidden="false"/>
    </xf>
    <xf numFmtId="164" fontId="14" fillId="3" borderId="0" xfId="0" applyFont="true" applyBorder="true" applyAlignment="true" applyProtection="false">
      <alignment horizontal="general" vertical="top" textRotation="0" wrapText="false" indent="0" shrinkToFit="false"/>
      <protection locked="true" hidden="false"/>
    </xf>
    <xf numFmtId="164" fontId="15" fillId="4" borderId="6" xfId="0" applyFont="true" applyBorder="true" applyAlignment="true" applyProtection="false">
      <alignment horizontal="center" vertical="bottom" textRotation="0" wrapText="true" indent="0" shrinkToFit="false"/>
      <protection locked="true" hidden="false"/>
    </xf>
    <xf numFmtId="164" fontId="15" fillId="0" borderId="0" xfId="0" applyFont="true" applyBorder="true" applyAlignment="true" applyProtection="false">
      <alignment horizontal="center" vertical="top" textRotation="0" wrapText="true" indent="0" shrinkToFit="false"/>
      <protection locked="true" hidden="false"/>
    </xf>
    <xf numFmtId="166" fontId="15" fillId="0" borderId="6" xfId="0" applyFont="true" applyBorder="true" applyAlignment="true" applyProtection="false">
      <alignment horizontal="center" vertical="top" textRotation="0" wrapText="true" indent="0" shrinkToFit="false"/>
      <protection locked="true" hidden="false"/>
    </xf>
    <xf numFmtId="164" fontId="15" fillId="0" borderId="6" xfId="0" applyFont="true" applyBorder="true" applyAlignment="true" applyProtection="false">
      <alignment horizontal="center" vertical="top" textRotation="0" wrapText="true" indent="0" shrinkToFit="false"/>
      <protection locked="true" hidden="false"/>
    </xf>
    <xf numFmtId="164" fontId="16" fillId="0" borderId="0" xfId="0" applyFont="true" applyBorder="false" applyAlignment="true" applyProtection="false">
      <alignment horizontal="general" vertical="top" textRotation="0" wrapText="false" indent="0" shrinkToFit="false"/>
      <protection locked="true" hidden="false"/>
    </xf>
    <xf numFmtId="164" fontId="14" fillId="4" borderId="7" xfId="0" applyFont="true" applyBorder="true" applyAlignment="true" applyProtection="false">
      <alignment horizontal="left" vertical="bottom" textRotation="0" wrapText="true" indent="0" shrinkToFit="false"/>
      <protection locked="true" hidden="false"/>
    </xf>
    <xf numFmtId="164" fontId="17" fillId="5" borderId="7" xfId="0" applyFont="true" applyBorder="true" applyAlignment="true" applyProtection="false">
      <alignment horizontal="center" vertical="bottom" textRotation="0" wrapText="true" indent="0" shrinkToFit="false"/>
      <protection locked="true" hidden="false"/>
    </xf>
    <xf numFmtId="164" fontId="9" fillId="0" borderId="6" xfId="0" applyFont="true" applyBorder="true" applyAlignment="true" applyProtection="false">
      <alignment horizontal="left" vertical="top" textRotation="0" wrapText="true" indent="0" shrinkToFit="false"/>
      <protection locked="true" hidden="false"/>
    </xf>
    <xf numFmtId="164" fontId="9" fillId="6" borderId="6" xfId="0" applyFont="true" applyBorder="true" applyAlignment="true" applyProtection="false">
      <alignment horizontal="center" vertical="top" textRotation="0" wrapText="true" indent="0" shrinkToFit="false"/>
      <protection locked="true" hidden="false"/>
    </xf>
    <xf numFmtId="164" fontId="9" fillId="6" borderId="0" xfId="0" applyFont="true" applyBorder="false" applyAlignment="true" applyProtection="false">
      <alignment horizontal="center" vertical="center" textRotation="0" wrapText="true" indent="0" shrinkToFit="false"/>
      <protection locked="true" hidden="false"/>
    </xf>
    <xf numFmtId="164" fontId="11" fillId="4" borderId="6" xfId="0" applyFont="true" applyBorder="true" applyAlignment="true" applyProtection="false">
      <alignment horizontal="center" vertical="bottom" textRotation="0" wrapText="true" indent="0" shrinkToFit="false"/>
      <protection locked="true" hidden="false"/>
    </xf>
    <xf numFmtId="164" fontId="14" fillId="4" borderId="6" xfId="0" applyFont="true" applyBorder="true" applyAlignment="true" applyProtection="false">
      <alignment horizontal="center" vertical="bottom" textRotation="0" wrapText="true" indent="0" shrinkToFit="false"/>
      <protection locked="true" hidden="false"/>
    </xf>
    <xf numFmtId="164" fontId="9" fillId="4" borderId="6" xfId="0" applyFont="true" applyBorder="true" applyAlignment="true" applyProtection="false">
      <alignment horizontal="center" vertical="bottom" textRotation="0" wrapText="true" indent="0" shrinkToFit="false"/>
      <protection locked="true" hidden="false"/>
    </xf>
    <xf numFmtId="164" fontId="0" fillId="0" borderId="8" xfId="0" applyFont="true" applyBorder="true" applyAlignment="true" applyProtection="false">
      <alignment horizontal="general" vertical="bottom" textRotation="0" wrapText="true" indent="0" shrinkToFit="false"/>
      <protection locked="true" hidden="false"/>
    </xf>
    <xf numFmtId="164" fontId="10" fillId="0" borderId="8" xfId="0" applyFont="true" applyBorder="true" applyAlignment="true" applyProtection="false">
      <alignment horizontal="general" vertical="top" textRotation="0" wrapText="false" indent="0" shrinkToFit="false"/>
      <protection locked="true" hidden="false"/>
    </xf>
    <xf numFmtId="164" fontId="10" fillId="0" borderId="8" xfId="0" applyFont="true" applyBorder="true" applyAlignment="true" applyProtection="false">
      <alignment horizontal="general" vertical="center" textRotation="0" wrapText="false" indent="0" shrinkToFit="false"/>
      <protection locked="true" hidden="false"/>
    </xf>
    <xf numFmtId="164" fontId="9" fillId="0" borderId="8" xfId="0" applyFont="true" applyBorder="true" applyAlignment="true" applyProtection="false">
      <alignment horizontal="general" vertical="center" textRotation="0" wrapText="false" indent="0" shrinkToFit="false"/>
      <protection locked="true" hidden="false"/>
    </xf>
    <xf numFmtId="164" fontId="9" fillId="0" borderId="8" xfId="0" applyFont="true" applyBorder="true" applyAlignment="true" applyProtection="false">
      <alignment horizontal="general" vertical="top" textRotation="0" wrapText="false" indent="0" shrinkToFit="false"/>
      <protection locked="true" hidden="false"/>
    </xf>
    <xf numFmtId="164" fontId="9" fillId="0" borderId="8" xfId="0" applyFont="true" applyBorder="true" applyAlignment="true" applyProtection="false">
      <alignment horizontal="left" vertical="top" textRotation="0" wrapText="true" indent="0" shrinkToFit="false"/>
      <protection locked="true" hidden="false"/>
    </xf>
    <xf numFmtId="164" fontId="9" fillId="0" borderId="8" xfId="0" applyFont="true" applyBorder="true" applyAlignment="true" applyProtection="false">
      <alignment horizontal="center" vertical="top" textRotation="0" wrapText="true" indent="0" shrinkToFit="false"/>
      <protection locked="true" hidden="false"/>
    </xf>
    <xf numFmtId="164" fontId="14" fillId="0" borderId="0" xfId="0" applyFont="true" applyBorder="false" applyAlignment="true" applyProtection="false">
      <alignment horizontal="general" vertical="top" textRotation="0" wrapText="false" indent="0" shrinkToFit="false"/>
      <protection locked="true" hidden="false"/>
    </xf>
    <xf numFmtId="164" fontId="9" fillId="0" borderId="0" xfId="0" applyFont="true" applyBorder="false" applyAlignment="true" applyProtection="false">
      <alignment horizontal="general" vertical="top" textRotation="0" wrapText="false" indent="0" shrinkToFit="false"/>
      <protection locked="true" hidden="false"/>
    </xf>
    <xf numFmtId="164" fontId="7" fillId="0" borderId="0" xfId="0" applyFont="true" applyBorder="false" applyAlignment="true" applyProtection="false">
      <alignment horizontal="general" vertical="top" textRotation="0" wrapText="false" indent="0" shrinkToFit="false"/>
      <protection locked="true" hidden="false"/>
    </xf>
    <xf numFmtId="164" fontId="20" fillId="0" borderId="0" xfId="0" applyFont="true" applyBorder="false" applyAlignment="true" applyProtection="false">
      <alignment horizontal="general" vertical="top" textRotation="0" wrapText="false" indent="0" shrinkToFit="false"/>
      <protection locked="true" hidden="false"/>
    </xf>
    <xf numFmtId="164" fontId="15" fillId="4" borderId="9" xfId="0" applyFont="true" applyBorder="true" applyAlignment="true" applyProtection="false">
      <alignment horizontal="center" vertical="bottom" textRotation="0" wrapText="true" indent="0" shrinkToFit="false"/>
      <protection locked="true" hidden="false"/>
    </xf>
    <xf numFmtId="164" fontId="9" fillId="0" borderId="6" xfId="0" applyFont="true" applyBorder="true" applyAlignment="true" applyProtection="false">
      <alignment horizontal="center" vertical="top" textRotation="0" wrapText="true" indent="0" shrinkToFit="false"/>
      <protection locked="true" hidden="false"/>
    </xf>
    <xf numFmtId="164" fontId="9" fillId="0" borderId="0" xfId="0" applyFont="true" applyBorder="true" applyAlignment="true" applyProtection="false">
      <alignment horizontal="center" vertical="top" textRotation="0" wrapText="true" indent="0" shrinkToFit="false"/>
      <protection locked="true" hidden="false"/>
    </xf>
    <xf numFmtId="164" fontId="21" fillId="0" borderId="0" xfId="0" applyFont="true" applyBorder="false" applyAlignment="true" applyProtection="false">
      <alignment horizontal="general" vertical="top" textRotation="0" wrapText="false" indent="0" shrinkToFit="false"/>
      <protection locked="true" hidden="false"/>
    </xf>
    <xf numFmtId="164" fontId="15" fillId="5" borderId="7" xfId="0" applyFont="true" applyBorder="true" applyAlignment="true" applyProtection="false">
      <alignment horizontal="center" vertical="bottom" textRotation="0" wrapText="true" indent="0" shrinkToFit="false"/>
      <protection locked="true" hidden="false"/>
    </xf>
    <xf numFmtId="164" fontId="22" fillId="0" borderId="0" xfId="0" applyFont="true" applyBorder="fals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13" fillId="3" borderId="0" xfId="0" applyFont="true" applyBorder="false" applyAlignment="true" applyProtection="false">
      <alignment horizontal="general" vertical="top" textRotation="0" wrapText="false" indent="0" shrinkToFit="false"/>
      <protection locked="true" hidden="false"/>
    </xf>
    <xf numFmtId="164" fontId="9" fillId="3" borderId="0" xfId="0" applyFont="true" applyBorder="false" applyAlignment="true" applyProtection="false">
      <alignment horizontal="general" vertical="top" textRotation="0" wrapText="false" indent="0" shrinkToFit="false"/>
      <protection locked="true" hidden="false"/>
    </xf>
    <xf numFmtId="164" fontId="10" fillId="3" borderId="0" xfId="0" applyFont="true" applyBorder="false" applyAlignment="true" applyProtection="false">
      <alignment horizontal="general" vertical="top" textRotation="0" wrapText="false" indent="0" shrinkToFit="false"/>
      <protection locked="true" hidden="false"/>
    </xf>
    <xf numFmtId="164" fontId="9" fillId="0" borderId="0" xfId="0" applyFont="true" applyBorder="false" applyAlignment="true" applyProtection="false">
      <alignment horizontal="general" vertical="top" textRotation="0" wrapText="true" indent="0" shrinkToFit="false"/>
      <protection locked="true" hidden="false"/>
    </xf>
    <xf numFmtId="164" fontId="9" fillId="0" borderId="0" xfId="0" applyFont="true" applyBorder="false" applyAlignment="true" applyProtection="false">
      <alignment horizontal="general" vertical="bottom" textRotation="0" wrapText="true" indent="0" shrinkToFit="false"/>
      <protection locked="true" hidden="false"/>
    </xf>
    <xf numFmtId="164" fontId="4" fillId="0" borderId="0" xfId="0" applyFont="true" applyBorder="false" applyAlignment="true" applyProtection="false">
      <alignment horizontal="general" vertical="bottom" textRotation="0" wrapText="tru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7" fillId="4" borderId="6" xfId="0" applyFont="true" applyBorder="true" applyAlignment="true" applyProtection="false">
      <alignment horizontal="center" vertical="bottom" textRotation="0" wrapText="true" indent="0" shrinkToFit="false"/>
      <protection locked="true" hidden="false"/>
    </xf>
    <xf numFmtId="164" fontId="15" fillId="0" borderId="0" xfId="0" applyFont="true" applyBorder="true" applyAlignment="true" applyProtection="false">
      <alignment horizontal="center" vertical="center" textRotation="0" wrapText="true" indent="0" shrinkToFit="false"/>
      <protection locked="true" hidden="false"/>
    </xf>
    <xf numFmtId="167" fontId="9" fillId="0" borderId="6" xfId="0" applyFont="true" applyBorder="true" applyAlignment="true" applyProtection="false">
      <alignment horizontal="center" vertical="center" textRotation="0" wrapText="true" indent="0" shrinkToFit="false"/>
      <protection locked="true" hidden="false"/>
    </xf>
    <xf numFmtId="168" fontId="9" fillId="0" borderId="6" xfId="0" applyFont="true" applyBorder="true" applyAlignment="true" applyProtection="false">
      <alignment horizontal="center" vertical="center" textRotation="0" wrapText="true" indent="0" shrinkToFit="false"/>
      <protection locked="true" hidden="false"/>
    </xf>
    <xf numFmtId="164" fontId="24" fillId="0" borderId="6" xfId="0" applyFont="true" applyBorder="true" applyAlignment="true" applyProtection="false">
      <alignment horizontal="center" vertical="center" textRotation="0" wrapText="true" indent="0" shrinkToFit="false"/>
      <protection locked="true" hidden="false"/>
    </xf>
    <xf numFmtId="164" fontId="17" fillId="5" borderId="6" xfId="0" applyFont="true" applyBorder="true" applyAlignment="true" applyProtection="false">
      <alignment horizontal="center" vertical="bottom" textRotation="0" wrapText="true" indent="0" shrinkToFit="false"/>
      <protection locked="true" hidden="false"/>
    </xf>
    <xf numFmtId="164" fontId="9" fillId="0" borderId="6" xfId="0" applyFont="true" applyBorder="true" applyAlignment="true" applyProtection="false">
      <alignment horizontal="left" vertical="center" textRotation="0" wrapText="true" indent="0" shrinkToFit="false"/>
      <protection locked="true" hidden="false"/>
    </xf>
    <xf numFmtId="164" fontId="9" fillId="6" borderId="6" xfId="0" applyFont="true" applyBorder="true" applyAlignment="true" applyProtection="false">
      <alignment horizontal="center" vertical="center" textRotation="0" wrapText="true" indent="0" shrinkToFit="false"/>
      <protection locked="true" hidden="false"/>
    </xf>
    <xf numFmtId="168" fontId="9" fillId="6" borderId="6" xfId="0" applyFont="true" applyBorder="true" applyAlignment="true" applyProtection="false">
      <alignment horizontal="center" vertical="center" textRotation="0" wrapText="tru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22" fillId="0" borderId="0" xfId="0" applyFont="true" applyBorder="true" applyAlignment="true" applyProtection="false">
      <alignment horizontal="left" vertical="center" textRotation="0" wrapText="tru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25" fillId="0" borderId="0" xfId="0" applyFont="true" applyBorder="false" applyAlignment="false" applyProtection="false">
      <alignment horizontal="general" vertical="bottom" textRotation="0" wrapText="fals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9" fillId="0" borderId="6" xfId="0" applyFont="true" applyBorder="true" applyAlignment="true" applyProtection="false">
      <alignment horizontal="center" vertical="center" textRotation="0" wrapText="true" indent="0" shrinkToFit="false"/>
      <protection locked="true" hidden="false"/>
    </xf>
    <xf numFmtId="169" fontId="9" fillId="0" borderId="6" xfId="0" applyFont="true" applyBorder="true" applyAlignment="true" applyProtection="false">
      <alignment horizontal="center" vertical="top" textRotation="0" wrapText="true" indent="0" shrinkToFit="false"/>
      <protection locked="true" hidden="false"/>
    </xf>
    <xf numFmtId="170" fontId="26" fillId="0" borderId="6" xfId="0" applyFont="true" applyBorder="true" applyAlignment="true" applyProtection="false">
      <alignment horizontal="center" vertical="top" textRotation="0" wrapText="true" indent="0" shrinkToFit="false"/>
      <protection locked="true" hidden="false"/>
    </xf>
    <xf numFmtId="164" fontId="27" fillId="0" borderId="6" xfId="0" applyFont="true" applyBorder="true" applyAlignment="true" applyProtection="false">
      <alignment horizontal="center" vertical="top" textRotation="0" wrapText="true" indent="0" shrinkToFit="false"/>
      <protection locked="true" hidden="false"/>
    </xf>
    <xf numFmtId="169" fontId="9" fillId="0" borderId="6" xfId="0" applyFont="true" applyBorder="true" applyAlignment="true" applyProtection="false">
      <alignment horizontal="center" vertical="center" textRotation="0" wrapText="true" indent="0" shrinkToFit="false"/>
      <protection locked="true" hidden="false"/>
    </xf>
    <xf numFmtId="170" fontId="26" fillId="0" borderId="6" xfId="0" applyFont="true" applyBorder="true" applyAlignment="true" applyProtection="false">
      <alignment horizontal="center" vertical="center" textRotation="0" wrapText="true" indent="0" shrinkToFit="false"/>
      <protection locked="true" hidden="false"/>
    </xf>
    <xf numFmtId="164" fontId="28" fillId="3" borderId="0" xfId="0" applyFont="true" applyBorder="false" applyAlignment="false" applyProtection="false">
      <alignment horizontal="general" vertical="bottom"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bottom" textRotation="0" wrapText="true" indent="0" shrinkToFit="false"/>
      <protection locked="true" hidden="false"/>
    </xf>
    <xf numFmtId="164" fontId="10" fillId="0" borderId="8" xfId="0" applyFont="true" applyBorder="true" applyAlignment="false" applyProtection="false">
      <alignment horizontal="general" vertical="bottom" textRotation="0" wrapText="false" indent="0" shrinkToFit="false"/>
      <protection locked="true" hidden="false"/>
    </xf>
    <xf numFmtId="164" fontId="29" fillId="0" borderId="8" xfId="0" applyFont="true" applyBorder="true" applyAlignment="true" applyProtection="false">
      <alignment horizontal="general" vertical="bottom" textRotation="0" wrapText="true" indent="0" shrinkToFit="false"/>
      <protection locked="true" hidden="false"/>
    </xf>
    <xf numFmtId="164" fontId="9" fillId="0" borderId="8" xfId="0" applyFont="true" applyBorder="true" applyAlignment="true" applyProtection="false">
      <alignment horizontal="center" vertical="bottom" textRotation="0" wrapText="true" indent="0" shrinkToFit="false"/>
      <protection locked="true" hidden="false"/>
    </xf>
    <xf numFmtId="164" fontId="10" fillId="0" borderId="0" xfId="0" applyFont="true" applyBorder="false" applyAlignment="true" applyProtection="false">
      <alignment horizontal="left" vertical="top" textRotation="0" wrapText="tru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15" fillId="0" borderId="7" xfId="0" applyFont="true" applyBorder="true" applyAlignment="true" applyProtection="false">
      <alignment horizontal="center" vertical="center" textRotation="0" wrapText="true" indent="0" shrinkToFit="false"/>
      <protection locked="true" hidden="false"/>
    </xf>
    <xf numFmtId="164" fontId="9" fillId="4" borderId="7" xfId="0" applyFont="true" applyBorder="true" applyAlignment="true" applyProtection="false">
      <alignment horizontal="center" vertical="bottom" textRotation="0" wrapText="true" indent="0" shrinkToFit="false"/>
      <protection locked="true" hidden="false"/>
    </xf>
    <xf numFmtId="164" fontId="30" fillId="4" borderId="6" xfId="0" applyFont="true" applyBorder="true" applyAlignment="true" applyProtection="false">
      <alignment horizontal="center" vertical="bottom" textRotation="0" wrapText="true" indent="0" shrinkToFit="false"/>
      <protection locked="true" hidden="false"/>
    </xf>
    <xf numFmtId="164" fontId="14" fillId="4" borderId="7" xfId="0" applyFont="true" applyBorder="true" applyAlignment="true" applyProtection="false">
      <alignment horizontal="center" vertical="bottom" textRotation="0" wrapText="true" indent="0" shrinkToFit="false"/>
      <protection locked="true" hidden="false"/>
    </xf>
    <xf numFmtId="164" fontId="9" fillId="0" borderId="6" xfId="0" applyFont="true" applyBorder="true" applyAlignment="true" applyProtection="false">
      <alignment horizontal="general" vertical="center" textRotation="0" wrapText="tru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30" fillId="0" borderId="6" xfId="0" applyFont="true" applyBorder="true" applyAlignment="true" applyProtection="false">
      <alignment horizontal="left" vertical="center" textRotation="0" wrapText="true" indent="0" shrinkToFit="false"/>
      <protection locked="true" hidden="false"/>
    </xf>
    <xf numFmtId="164" fontId="31" fillId="0" borderId="6" xfId="0" applyFont="true" applyBorder="true" applyAlignment="true" applyProtection="false">
      <alignment horizontal="left" vertical="center" textRotation="0" wrapText="true" indent="0" shrinkToFit="false"/>
      <protection locked="true" hidden="false"/>
    </xf>
    <xf numFmtId="168" fontId="9" fillId="0" borderId="0" xfId="0" applyFont="true" applyBorder="false" applyAlignment="false" applyProtection="false">
      <alignment horizontal="general" vertical="bottom" textRotation="0" wrapText="false" indent="0" shrinkToFit="false"/>
      <protection locked="true" hidden="false"/>
    </xf>
    <xf numFmtId="168" fontId="4" fillId="0" borderId="0" xfId="0" applyFont="true" applyBorder="false" applyAlignment="false" applyProtection="false">
      <alignment horizontal="general" vertical="bottom" textRotation="0" wrapText="false" indent="0" shrinkToFit="false"/>
      <protection locked="true" hidden="false"/>
    </xf>
    <xf numFmtId="168" fontId="15" fillId="4" borderId="6" xfId="0" applyFont="true" applyBorder="true" applyAlignment="true" applyProtection="false">
      <alignment horizontal="center" vertical="bottom" textRotation="0" wrapText="true" indent="0" shrinkToFit="false"/>
      <protection locked="true" hidden="false"/>
    </xf>
    <xf numFmtId="164" fontId="14" fillId="4" borderId="6" xfId="0" applyFont="true" applyBorder="true" applyAlignment="true" applyProtection="false">
      <alignment horizontal="left" vertical="bottom" textRotation="0" wrapText="true" indent="0" shrinkToFit="false"/>
      <protection locked="true" hidden="false"/>
    </xf>
    <xf numFmtId="168" fontId="9" fillId="4" borderId="6" xfId="0" applyFont="true" applyBorder="true" applyAlignment="true" applyProtection="false">
      <alignment horizontal="center" vertical="bottom" textRotation="0" wrapText="true" indent="0" shrinkToFit="false"/>
      <protection locked="true" hidden="false"/>
    </xf>
    <xf numFmtId="164" fontId="9" fillId="0" borderId="6" xfId="0" applyFont="true" applyBorder="true" applyAlignment="true" applyProtection="false">
      <alignment horizontal="left" vertical="bottom" textRotation="0" wrapText="false" indent="0" shrinkToFit="false"/>
      <protection locked="true" hidden="false"/>
    </xf>
    <xf numFmtId="164" fontId="9" fillId="4" borderId="6" xfId="0" applyFont="true" applyBorder="true" applyAlignment="true" applyProtection="false">
      <alignment horizontal="right" vertical="bottom" textRotation="0" wrapText="true" indent="0" shrinkToFit="false"/>
      <protection locked="true" hidden="false"/>
    </xf>
    <xf numFmtId="164" fontId="9" fillId="0" borderId="6" xfId="0" applyFont="true" applyBorder="true" applyAlignment="true" applyProtection="false">
      <alignment horizontal="left" vertical="bottom" textRotation="0" wrapText="true" indent="0" shrinkToFit="false"/>
      <protection locked="true" hidden="false"/>
    </xf>
    <xf numFmtId="164" fontId="9" fillId="0" borderId="6" xfId="0" applyFont="true" applyBorder="true" applyAlignment="true" applyProtection="false">
      <alignment horizontal="center" vertical="bottom" textRotation="0" wrapText="true" indent="0" shrinkToFit="false"/>
      <protection locked="true" hidden="false"/>
    </xf>
    <xf numFmtId="168" fontId="9" fillId="0" borderId="6" xfId="0" applyFont="true" applyBorder="true" applyAlignment="true" applyProtection="false">
      <alignment horizontal="center" vertical="bottom" textRotation="0" wrapText="true" indent="0" shrinkToFit="false"/>
      <protection locked="true" hidden="false"/>
    </xf>
    <xf numFmtId="164" fontId="7" fillId="0" borderId="6" xfId="0" applyFont="true" applyBorder="true" applyAlignment="true" applyProtection="false">
      <alignment horizontal="center" vertical="center" textRotation="0" wrapText="true" indent="0" shrinkToFit="false"/>
      <protection locked="true" hidden="false"/>
    </xf>
    <xf numFmtId="164" fontId="14" fillId="0" borderId="6" xfId="0" applyFont="true" applyBorder="true" applyAlignment="true" applyProtection="false">
      <alignment horizontal="right" vertical="center" textRotation="0" wrapText="true" indent="0" shrinkToFit="false"/>
      <protection locked="true" hidden="false"/>
    </xf>
    <xf numFmtId="168" fontId="7" fillId="0" borderId="6" xfId="0" applyFont="true" applyBorder="true" applyAlignment="true" applyProtection="false">
      <alignment horizontal="center" vertical="center" textRotation="0" wrapText="true" indent="0" shrinkToFit="false"/>
      <protection locked="true" hidden="false"/>
    </xf>
    <xf numFmtId="164" fontId="26" fillId="0" borderId="6" xfId="0" applyFont="true" applyBorder="true" applyAlignment="true" applyProtection="false">
      <alignment horizontal="center" vertical="bottom" textRotation="0" wrapText="tru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8" fontId="10" fillId="0" borderId="0" xfId="0" applyFont="true" applyBorder="false" applyAlignment="false" applyProtection="false">
      <alignment horizontal="general" vertical="bottom" textRotation="0" wrapText="false" indent="0" shrinkToFit="false"/>
      <protection locked="true" hidden="false"/>
    </xf>
    <xf numFmtId="164" fontId="32" fillId="0" borderId="6" xfId="0" applyFont="true" applyBorder="true" applyAlignment="true" applyProtection="false">
      <alignment horizontal="general" vertical="bottom" textRotation="0" wrapText="true" indent="0" shrinkToFit="false"/>
      <protection locked="true" hidden="false"/>
    </xf>
    <xf numFmtId="171" fontId="32" fillId="0" borderId="6" xfId="0" applyFont="true" applyBorder="true" applyAlignment="true" applyProtection="false">
      <alignment horizontal="center" vertical="bottom" textRotation="0" wrapText="false" indent="0" shrinkToFit="false"/>
      <protection locked="true" hidden="false"/>
    </xf>
    <xf numFmtId="164" fontId="32" fillId="0" borderId="6" xfId="0" applyFont="true" applyBorder="true" applyAlignment="true" applyProtection="false">
      <alignment horizontal="center" vertical="bottom" textRotation="0" wrapText="false" indent="0" shrinkToFit="false"/>
      <protection locked="true" hidden="false"/>
    </xf>
    <xf numFmtId="164" fontId="33" fillId="0" borderId="6" xfId="0" applyFont="true" applyBorder="true" applyAlignment="true" applyProtection="false">
      <alignment horizontal="general" vertical="bottom" textRotation="0" wrapText="true" indent="0" shrinkToFit="false"/>
      <protection locked="true" hidden="false"/>
    </xf>
    <xf numFmtId="171" fontId="32" fillId="0" borderId="0" xfId="0" applyFont="true" applyBorder="true" applyAlignment="true" applyProtection="false">
      <alignment horizontal="center" vertical="bottom" textRotation="0" wrapText="false" indent="0" shrinkToFit="false"/>
      <protection locked="true" hidden="false"/>
    </xf>
    <xf numFmtId="164" fontId="32" fillId="0" borderId="0" xfId="0" applyFont="true" applyBorder="true" applyAlignment="true" applyProtection="false">
      <alignment horizontal="center" vertical="bottom" textRotation="0" wrapText="false" indent="0" shrinkToFit="false"/>
      <protection locked="true" hidden="false"/>
    </xf>
    <xf numFmtId="168" fontId="9" fillId="3" borderId="0" xfId="0" applyFont="true" applyBorder="false" applyAlignment="true" applyProtection="false">
      <alignment horizontal="general" vertical="top" textRotation="0" wrapText="false" indent="0" shrinkToFit="false"/>
      <protection locked="true" hidden="false"/>
    </xf>
    <xf numFmtId="164" fontId="4" fillId="0" borderId="0" xfId="0" applyFont="true" applyBorder="false" applyAlignment="true" applyProtection="false">
      <alignment horizontal="general" vertical="top" textRotation="0" wrapText="false" indent="0" shrinkToFit="false"/>
      <protection locked="true" hidden="false"/>
    </xf>
    <xf numFmtId="168" fontId="9" fillId="0" borderId="0" xfId="0" applyFont="true" applyBorder="false" applyAlignment="true" applyProtection="false">
      <alignment horizontal="general" vertical="top" textRotation="0" wrapText="true" indent="0" shrinkToFit="false"/>
      <protection locked="true" hidden="false"/>
    </xf>
    <xf numFmtId="164" fontId="14" fillId="0" borderId="0" xfId="0" applyFont="true" applyBorder="true" applyAlignment="true" applyProtection="false">
      <alignment horizontal="general" vertical="center" textRotation="0" wrapText="false" indent="0" shrinkToFit="false"/>
      <protection locked="true" hidden="false"/>
    </xf>
    <xf numFmtId="164" fontId="15" fillId="4" borderId="10" xfId="0" applyFont="true" applyBorder="true" applyAlignment="true" applyProtection="false">
      <alignment horizontal="center" vertical="center" textRotation="0" wrapText="true" indent="0" shrinkToFit="false"/>
      <protection locked="true" hidden="false"/>
    </xf>
    <xf numFmtId="164" fontId="35" fillId="0" borderId="6"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true" applyAlignment="false" applyProtection="false">
      <alignment horizontal="general" vertical="bottom" textRotation="0" wrapText="false" indent="0" shrinkToFit="false"/>
      <protection locked="true" hidden="false"/>
    </xf>
    <xf numFmtId="164" fontId="9" fillId="0" borderId="0" xfId="0" applyFont="true" applyBorder="true" applyAlignment="true" applyProtection="false">
      <alignment horizontal="center" vertical="center" textRotation="0" wrapText="true" indent="0" shrinkToFit="false"/>
      <protection locked="true" hidden="false"/>
    </xf>
    <xf numFmtId="164" fontId="35" fillId="0" borderId="0" xfId="0" applyFont="true" applyBorder="true" applyAlignment="true" applyProtection="false">
      <alignment horizontal="center" vertical="center" textRotation="0" wrapText="true" indent="0" shrinkToFit="false"/>
      <protection locked="true" hidden="false"/>
    </xf>
    <xf numFmtId="164" fontId="7" fillId="0" borderId="0" xfId="0" applyFont="true" applyBorder="true" applyAlignment="true" applyProtection="false">
      <alignment horizontal="general" vertical="center" textRotation="0" wrapText="false" indent="0" shrinkToFit="false"/>
      <protection locked="true" hidden="false"/>
    </xf>
    <xf numFmtId="164" fontId="15" fillId="4" borderId="6" xfId="0" applyFont="true" applyBorder="true" applyAlignment="true" applyProtection="false">
      <alignment horizontal="center" vertical="center" textRotation="0" wrapText="true" indent="0" shrinkToFit="false"/>
      <protection locked="true" hidden="false"/>
    </xf>
    <xf numFmtId="164" fontId="36" fillId="3" borderId="6" xfId="0" applyFont="true" applyBorder="true" applyAlignment="true" applyProtection="false">
      <alignment horizontal="left" vertical="center" textRotation="0" wrapText="true" indent="0" shrinkToFit="false"/>
      <protection locked="true" hidden="false"/>
    </xf>
    <xf numFmtId="164" fontId="24" fillId="4" borderId="6" xfId="0" applyFont="true" applyBorder="true" applyAlignment="true" applyProtection="false">
      <alignment horizontal="center" vertical="center" textRotation="0" wrapText="true" indent="0" shrinkToFit="false"/>
      <protection locked="true" hidden="false"/>
    </xf>
    <xf numFmtId="166" fontId="24" fillId="0" borderId="6" xfId="0" applyFont="true" applyBorder="true" applyAlignment="true" applyProtection="false">
      <alignment horizontal="center" vertical="center" textRotation="0" wrapText="true" indent="0" shrinkToFit="false"/>
      <protection locked="true" hidden="false"/>
    </xf>
    <xf numFmtId="165" fontId="24" fillId="0" borderId="6" xfId="0" applyFont="true" applyBorder="true" applyAlignment="true" applyProtection="false">
      <alignment horizontal="center" vertical="center" textRotation="0" wrapText="true" indent="0" shrinkToFit="false"/>
      <protection locked="true" hidden="false"/>
    </xf>
    <xf numFmtId="164" fontId="36" fillId="0" borderId="6" xfId="0" applyFont="true" applyBorder="true" applyAlignment="true" applyProtection="false">
      <alignment horizontal="left" vertical="center" textRotation="0" wrapText="true" indent="0" shrinkToFit="false"/>
      <protection locked="true" hidden="false"/>
    </xf>
    <xf numFmtId="164" fontId="30" fillId="4" borderId="6" xfId="0" applyFont="true" applyBorder="true" applyAlignment="true" applyProtection="false">
      <alignment horizontal="general" vertical="center" textRotation="0" wrapText="true" indent="0" shrinkToFit="false"/>
      <protection locked="true" hidden="false"/>
    </xf>
    <xf numFmtId="164" fontId="37" fillId="0" borderId="0" xfId="0" applyFont="true" applyBorder="false" applyAlignment="true" applyProtection="false">
      <alignment horizontal="center" vertical="bottom" textRotation="0" wrapText="true" indent="0" shrinkToFit="false"/>
      <protection locked="true" hidden="false"/>
    </xf>
    <xf numFmtId="164" fontId="37" fillId="0" borderId="6" xfId="0" applyFont="true" applyBorder="true" applyAlignment="true" applyProtection="false">
      <alignment horizontal="center" vertical="bottom" textRotation="0" wrapText="true" indent="0" shrinkToFit="false"/>
      <protection locked="true" hidden="false"/>
    </xf>
    <xf numFmtId="172" fontId="37" fillId="0" borderId="6" xfId="0" applyFont="true" applyBorder="true" applyAlignment="true" applyProtection="false">
      <alignment horizontal="center" vertical="bottom" textRotation="0" wrapText="true" indent="0" shrinkToFit="false"/>
      <protection locked="true" hidden="false"/>
    </xf>
    <xf numFmtId="164" fontId="38" fillId="0" borderId="6" xfId="0" applyFont="true" applyBorder="true" applyAlignment="true" applyProtection="false">
      <alignment horizontal="center" vertical="bottom" textRotation="0" wrapText="true" indent="0" shrinkToFit="false"/>
      <protection locked="true" hidden="false"/>
    </xf>
    <xf numFmtId="164" fontId="24" fillId="0" borderId="6" xfId="0" applyFont="true" applyBorder="true" applyAlignment="true" applyProtection="false">
      <alignment horizontal="left" vertical="center" textRotation="0" wrapText="true" indent="0" shrinkToFit="false"/>
      <protection locked="true" hidden="false"/>
    </xf>
    <xf numFmtId="164" fontId="30" fillId="4" borderId="9" xfId="0" applyFont="true" applyBorder="true" applyAlignment="true" applyProtection="false">
      <alignment horizontal="general" vertical="center" textRotation="0" wrapText="true" indent="0" shrinkToFit="false"/>
      <protection locked="true" hidden="false"/>
    </xf>
    <xf numFmtId="164" fontId="15" fillId="0" borderId="6" xfId="0" applyFont="true" applyBorder="true" applyAlignment="true" applyProtection="false">
      <alignment horizontal="left" vertical="center" textRotation="0" wrapText="true" indent="0" shrinkToFit="false"/>
      <protection locked="true" hidden="false"/>
    </xf>
    <xf numFmtId="164" fontId="37" fillId="0" borderId="6" xfId="0" applyFont="true" applyBorder="true" applyAlignment="true" applyProtection="false">
      <alignment horizontal="center" vertical="bottom" textRotation="0" wrapText="fals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40" fillId="0" borderId="0" xfId="0" applyFont="true" applyBorder="false" applyAlignment="false" applyProtection="false">
      <alignment horizontal="general" vertical="bottom" textRotation="0" wrapText="false" indent="0" shrinkToFit="false"/>
      <protection locked="true" hidden="false"/>
    </xf>
    <xf numFmtId="164" fontId="39" fillId="0" borderId="0" xfId="0" applyFont="true" applyBorder="true" applyAlignment="true" applyProtection="false">
      <alignment horizontal="left" vertical="center" textRotation="0" wrapText="true" indent="0" shrinkToFit="false"/>
      <protection locked="true" hidden="false"/>
    </xf>
    <xf numFmtId="164" fontId="33" fillId="0" borderId="0" xfId="0" applyFont="true" applyBorder="false" applyAlignment="tru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30" fillId="0" borderId="0" xfId="0" applyFont="tru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general" vertical="bottom" textRotation="0" wrapText="false" indent="0" shrinkToFit="false"/>
      <protection locked="true" hidden="false"/>
    </xf>
    <xf numFmtId="164" fontId="22"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false" applyAlignment="true" applyProtection="false">
      <alignment horizontal="general" vertical="bottom" textRotation="0" wrapText="false" indent="0" shrinkToFit="false"/>
      <protection locked="true" hidden="false"/>
    </xf>
    <xf numFmtId="164" fontId="42" fillId="0" borderId="0" xfId="0" applyFont="true" applyBorder="false" applyAlignment="true" applyProtection="false">
      <alignment horizontal="general" vertical="center" textRotation="0" wrapText="false" indent="0" shrinkToFit="false"/>
      <protection locked="true" hidden="false"/>
    </xf>
    <xf numFmtId="164" fontId="39" fillId="0" borderId="0" xfId="0" applyFont="true" applyBorder="false" applyAlignment="true" applyProtection="false">
      <alignment horizontal="general" vertical="center"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5A6BD"/>
      <rgbColor rgb="FF808080"/>
      <rgbColor rgb="FF5B9BD5"/>
      <rgbColor rgb="FF7030A0"/>
      <rgbColor rgb="FFFFFFCC"/>
      <rgbColor rgb="FFDAEEF3"/>
      <rgbColor rgb="FF660066"/>
      <rgbColor rgb="FFC27BA0"/>
      <rgbColor rgb="FF0A71B4"/>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2CDDC"/>
      <rgbColor rgb="FFFF99CC"/>
      <rgbColor rgb="FFCC99FF"/>
      <rgbColor rgb="FFFFCC99"/>
      <rgbColor rgb="FF3366FF"/>
      <rgbColor rgb="FF4BACC6"/>
      <rgbColor rgb="FF99CC00"/>
      <rgbColor rgb="FFFFCC00"/>
      <rgbColor rgb="FFFF9900"/>
      <rgbColor rgb="FFFF6600"/>
      <rgbColor rgb="FF666699"/>
      <rgbColor rgb="FFA6A6A6"/>
      <rgbColor rgb="FF003366"/>
      <rgbColor rgb="FF339966"/>
      <rgbColor rgb="FF003300"/>
      <rgbColor rgb="FF333300"/>
      <rgbColor rgb="FF993300"/>
      <rgbColor rgb="FF993366"/>
      <rgbColor rgb="FF2F5597"/>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1.xml"/><Relationship Id="rId12"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2.png"/>
</Relationships>
</file>

<file path=xl/drawings/_rels/drawing3.xml.rels><?xml version="1.0" encoding="UTF-8"?>
<Relationships xmlns="http://schemas.openxmlformats.org/package/2006/relationships"><Relationship Id="rId1" Type="http://schemas.openxmlformats.org/officeDocument/2006/relationships/image" Target="../media/image13.png"/>
</Relationships>
</file>

<file path=xl/drawings/_rels/drawing4.xml.rels><?xml version="1.0" encoding="UTF-8"?>
<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15.png"/><Relationship Id="rId3" Type="http://schemas.openxmlformats.org/officeDocument/2006/relationships/image" Target="../media/image1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1151640</xdr:colOff>
      <xdr:row>431</xdr:row>
      <xdr:rowOff>164160</xdr:rowOff>
    </xdr:from>
    <xdr:to>
      <xdr:col>2</xdr:col>
      <xdr:colOff>1439640</xdr:colOff>
      <xdr:row>433</xdr:row>
      <xdr:rowOff>66600</xdr:rowOff>
    </xdr:to>
    <xdr:sp>
      <xdr:nvSpPr>
        <xdr:cNvPr id="0" name="CustomShape 1"/>
        <xdr:cNvSpPr/>
      </xdr:nvSpPr>
      <xdr:spPr>
        <a:xfrm>
          <a:off x="4047840" y="86095440"/>
          <a:ext cx="2613240" cy="25272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360</xdr:colOff>
      <xdr:row>62</xdr:row>
      <xdr:rowOff>7200</xdr:rowOff>
    </xdr:from>
    <xdr:to>
      <xdr:col>16</xdr:col>
      <xdr:colOff>623880</xdr:colOff>
      <xdr:row>125</xdr:row>
      <xdr:rowOff>90360</xdr:rowOff>
    </xdr:to>
    <xdr:pic>
      <xdr:nvPicPr>
        <xdr:cNvPr id="1" name="Image 5" descr=""/>
        <xdr:cNvPicPr/>
      </xdr:nvPicPr>
      <xdr:blipFill>
        <a:blip r:embed="rId1"/>
        <a:stretch/>
      </xdr:blipFill>
      <xdr:spPr>
        <a:xfrm>
          <a:off x="360" y="11081520"/>
          <a:ext cx="16707240" cy="11201760"/>
        </a:xfrm>
        <a:prstGeom prst="rect">
          <a:avLst/>
        </a:prstGeom>
        <a:ln w="0">
          <a:noFill/>
        </a:ln>
      </xdr:spPr>
    </xdr:pic>
    <xdr:clientData/>
  </xdr:twoCellAnchor>
  <xdr:twoCellAnchor editAs="absolute">
    <xdr:from>
      <xdr:col>0</xdr:col>
      <xdr:colOff>0</xdr:colOff>
      <xdr:row>5</xdr:row>
      <xdr:rowOff>0</xdr:rowOff>
    </xdr:from>
    <xdr:to>
      <xdr:col>16</xdr:col>
      <xdr:colOff>577440</xdr:colOff>
      <xdr:row>50</xdr:row>
      <xdr:rowOff>39960</xdr:rowOff>
    </xdr:to>
    <xdr:pic>
      <xdr:nvPicPr>
        <xdr:cNvPr id="2" name="Image 6" descr=""/>
        <xdr:cNvPicPr/>
      </xdr:nvPicPr>
      <xdr:blipFill>
        <a:blip r:embed="rId2"/>
        <a:stretch/>
      </xdr:blipFill>
      <xdr:spPr>
        <a:xfrm>
          <a:off x="0" y="1097280"/>
          <a:ext cx="16661160" cy="79264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3</xdr:row>
      <xdr:rowOff>0</xdr:rowOff>
    </xdr:from>
    <xdr:to>
      <xdr:col>16</xdr:col>
      <xdr:colOff>271440</xdr:colOff>
      <xdr:row>12</xdr:row>
      <xdr:rowOff>91440</xdr:rowOff>
    </xdr:to>
    <xdr:pic>
      <xdr:nvPicPr>
        <xdr:cNvPr id="3" name="Image 1" descr=""/>
        <xdr:cNvPicPr/>
      </xdr:nvPicPr>
      <xdr:blipFill>
        <a:blip r:embed="rId1"/>
        <a:stretch/>
      </xdr:blipFill>
      <xdr:spPr>
        <a:xfrm>
          <a:off x="0" y="556200"/>
          <a:ext cx="16024320" cy="18057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1</xdr:row>
      <xdr:rowOff>0</xdr:rowOff>
    </xdr:from>
    <xdr:to>
      <xdr:col>21</xdr:col>
      <xdr:colOff>749160</xdr:colOff>
      <xdr:row>27</xdr:row>
      <xdr:rowOff>166680</xdr:rowOff>
    </xdr:to>
    <xdr:pic>
      <xdr:nvPicPr>
        <xdr:cNvPr id="4" name="Image 2" descr=""/>
        <xdr:cNvPicPr/>
      </xdr:nvPicPr>
      <xdr:blipFill>
        <a:blip r:embed="rId1"/>
        <a:stretch/>
      </xdr:blipFill>
      <xdr:spPr>
        <a:xfrm>
          <a:off x="0" y="190440"/>
          <a:ext cx="18923400" cy="5119560"/>
        </a:xfrm>
        <a:prstGeom prst="rect">
          <a:avLst/>
        </a:prstGeom>
        <a:ln w="0">
          <a:noFill/>
        </a:ln>
      </xdr:spPr>
    </xdr:pic>
    <xdr:clientData/>
  </xdr:twoCellAnchor>
  <xdr:twoCellAnchor editAs="absolute">
    <xdr:from>
      <xdr:col>0</xdr:col>
      <xdr:colOff>0</xdr:colOff>
      <xdr:row>31</xdr:row>
      <xdr:rowOff>0</xdr:rowOff>
    </xdr:from>
    <xdr:to>
      <xdr:col>22</xdr:col>
      <xdr:colOff>23040</xdr:colOff>
      <xdr:row>60</xdr:row>
      <xdr:rowOff>87840</xdr:rowOff>
    </xdr:to>
    <xdr:pic>
      <xdr:nvPicPr>
        <xdr:cNvPr id="5" name="Image 3" descr=""/>
        <xdr:cNvPicPr/>
      </xdr:nvPicPr>
      <xdr:blipFill>
        <a:blip r:embed="rId2"/>
        <a:stretch/>
      </xdr:blipFill>
      <xdr:spPr>
        <a:xfrm>
          <a:off x="0" y="5905440"/>
          <a:ext cx="18984600" cy="5170320"/>
        </a:xfrm>
        <a:prstGeom prst="rect">
          <a:avLst/>
        </a:prstGeom>
        <a:ln w="0">
          <a:noFill/>
        </a:ln>
      </xdr:spPr>
    </xdr:pic>
    <xdr:clientData/>
  </xdr:twoCellAnchor>
  <xdr:twoCellAnchor editAs="absolute">
    <xdr:from>
      <xdr:col>0</xdr:col>
      <xdr:colOff>0</xdr:colOff>
      <xdr:row>63</xdr:row>
      <xdr:rowOff>0</xdr:rowOff>
    </xdr:from>
    <xdr:to>
      <xdr:col>21</xdr:col>
      <xdr:colOff>787680</xdr:colOff>
      <xdr:row>76</xdr:row>
      <xdr:rowOff>59400</xdr:rowOff>
    </xdr:to>
    <xdr:pic>
      <xdr:nvPicPr>
        <xdr:cNvPr id="6" name="Image 4" descr=""/>
        <xdr:cNvPicPr/>
      </xdr:nvPicPr>
      <xdr:blipFill>
        <a:blip r:embed="rId3"/>
        <a:stretch/>
      </xdr:blipFill>
      <xdr:spPr>
        <a:xfrm>
          <a:off x="0" y="11544120"/>
          <a:ext cx="18961920" cy="2535840"/>
        </a:xfrm>
        <a:prstGeom prst="rect">
          <a:avLst/>
        </a:prstGeom>
        <a:ln w="0">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20210715_EMODnetChemistry_Q22021%20(copia).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Comments"/>
      <sheetName val="1(Data)"/>
      <sheetName val="2(Products)"/>
      <sheetName val="3(Data providers)"/>
      <sheetName val="4(Web services)"/>
      <sheetName val="5(User stats)&amp;6(Use case stats)"/>
      <sheetName val="7(Analytics)"/>
      <sheetName val="8(User friendliness)"/>
      <sheetName val="9-10-11(User stats)"/>
    </sheetNames>
    <sheetDataSet>
      <sheetData sheetId="0"/>
      <sheetData sheetId="1"/>
      <sheetData sheetId="2"/>
      <sheetData sheetId="3"/>
      <sheetData sheetId="4"/>
      <sheetData sheetId="5"/>
      <sheetData sheetId="6"/>
      <sheetData sheetId="7"/>
      <sheetData sheetId="8"/>
    </sheetDataSet>
  </externalBook>
</externalLink>
</file>

<file path=xl/worksheets/_rels/sheet6.xml.rels><?xml version="1.0" encoding="UTF-8"?>
<Relationships xmlns="http://schemas.openxmlformats.org/package/2006/relationships"><Relationship Id="rId1" Type="http://schemas.openxmlformats.org/officeDocument/2006/relationships/drawing" Target="../drawings/drawing1.xml"/>
</Relationships>
</file>

<file path=xl/worksheets/_rels/sheet7.xml.rels><?xml version="1.0" encoding="UTF-8"?>
<Relationships xmlns="http://schemas.openxmlformats.org/package/2006/relationships"><Relationship Id="rId1" Type="http://schemas.openxmlformats.org/officeDocument/2006/relationships/drawing" Target="../drawings/drawing2.xml"/>
</Relationships>
</file>

<file path=xl/worksheets/_rels/sheet8.xml.rels><?xml version="1.0" encoding="UTF-8"?>
<Relationships xmlns="http://schemas.openxmlformats.org/package/2006/relationships"><Relationship Id="rId1" Type="http://schemas.openxmlformats.org/officeDocument/2006/relationships/drawing" Target="../drawings/drawing3.xml"/>
</Relationships>
</file>

<file path=xl/worksheets/_rels/sheet9.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3" activeCellId="0" sqref="A3"/>
    </sheetView>
  </sheetViews>
  <sheetFormatPr defaultColWidth="8.8515625" defaultRowHeight="13.8" zeroHeight="false" outlineLevelRow="0" outlineLevelCol="0"/>
  <cols>
    <col collapsed="false" customWidth="true" hidden="false" outlineLevel="0" max="1" min="1" style="1" width="48.28"/>
    <col collapsed="false" customWidth="true" hidden="false" outlineLevel="0" max="2" min="2" style="1" width="88.72"/>
    <col collapsed="false" customWidth="false" hidden="false" outlineLevel="0" max="1024" min="3" style="1" width="8.85"/>
  </cols>
  <sheetData>
    <row r="1" customFormat="false" ht="17.25" hidden="false" customHeight="true" outlineLevel="0" collapsed="false">
      <c r="A1" s="2" t="s">
        <v>0</v>
      </c>
      <c r="B1" s="2"/>
    </row>
    <row r="2" customFormat="false" ht="13.8" hidden="false" customHeight="false" outlineLevel="0" collapsed="false">
      <c r="A2" s="3" t="s">
        <v>1</v>
      </c>
      <c r="B2" s="4" t="s">
        <v>2</v>
      </c>
    </row>
    <row r="3" customFormat="false" ht="13.8" hidden="false" customHeight="false" outlineLevel="0" collapsed="false">
      <c r="A3" s="5" t="s">
        <v>3</v>
      </c>
      <c r="B3" s="6"/>
    </row>
    <row r="4" customFormat="false" ht="23.25" hidden="false" customHeight="false" outlineLevel="0" collapsed="false">
      <c r="A4" s="7" t="str">
        <f aca="false">'1(Data)'!A63</f>
        <v>1A) Volume and coverage of available data</v>
      </c>
      <c r="B4" s="7" t="str">
        <f aca="false">+'1(Data)'!B63</f>
        <v>Several new data sets have been entered. Overall, this has resulted in a steady increase of data. There is also maintenance ongoing for marine litter entries which are being revised and will be re-added soon.</v>
      </c>
    </row>
    <row r="5" customFormat="false" ht="23.25" hidden="false" customHeight="false" outlineLevel="0" collapsed="false">
      <c r="A5" s="7" t="str">
        <f aca="false">'1(Data)'!A64</f>
        <v>1B) Usage of data in this quarter</v>
      </c>
      <c r="B5" s="7" t="str">
        <f aca="false">+'1(Data)'!B64</f>
        <v>For CDIs, this quarter there are more than twice number of requests for CDI data files as in previous quarter. While number of users is almost the same as compared to previous quarter: 27 versus 26.</v>
      </c>
    </row>
    <row r="6" customFormat="false" ht="23.25" hidden="false" customHeight="false" outlineLevel="0" collapsed="false">
      <c r="A6" s="8" t="s">
        <v>4</v>
      </c>
      <c r="B6" s="9"/>
    </row>
    <row r="7" customFormat="false" ht="13.8" hidden="false" customHeight="false" outlineLevel="0" collapsed="false">
      <c r="A7" s="9" t="str">
        <f aca="false">'[1]2(Products)'!A71</f>
        <v>2A) Volume and coverage of available built &amp; acquired data products</v>
      </c>
      <c r="B7" s="9" t="str">
        <f aca="false">+'[1]2(Products)'!B71</f>
        <v>No new data products.</v>
      </c>
    </row>
    <row r="8" customFormat="false" ht="23.25" hidden="false" customHeight="false" outlineLevel="0" collapsed="false">
      <c r="A8" s="9" t="str">
        <f aca="false">'[1]2(Products)'!A72</f>
        <v>2B) Usage of data products n this quarter</v>
      </c>
      <c r="B8" s="9" t="str">
        <f aca="false">+'[1]2(Products)'!B72</f>
        <v>There is a big increase in map visualisations, especially for ‘Dissolved gases’. However, manual downloads have decreased.
As for the total volume downloaded, we see that also this time the highest value belongs to Fertilisers.</v>
      </c>
    </row>
    <row r="9" customFormat="false" ht="23.25" hidden="false" customHeight="false" outlineLevel="0" collapsed="false">
      <c r="A9" s="10" t="str">
        <f aca="false">'3(Data providers)'!A82</f>
        <v>3) Organisations supplying/ approached to supply data and data products</v>
      </c>
      <c r="B9" s="10" t="str">
        <f aca="false">+'3(Data providers)'!B82</f>
        <v>Several new data sets have been entered by a number of data providers. Overall, this has resulted in a steady increase of data.</v>
      </c>
    </row>
    <row r="10" customFormat="false" ht="13.8" hidden="false" customHeight="false" outlineLevel="0" collapsed="false">
      <c r="A10" s="10" t="str">
        <f aca="false">'4(Web services)'!A14</f>
        <v>4) Online 'Web' interfaces to access or view data</v>
      </c>
      <c r="B10" s="10" t="str">
        <f aca="false">+'4(Web services)'!B14</f>
        <v>No changes in this period.</v>
      </c>
    </row>
    <row r="11" customFormat="false" ht="67.4" hidden="false" customHeight="false" outlineLevel="0" collapsed="false">
      <c r="A11" s="10" t="str">
        <f aca="false">'5(User stats)&amp;6(Use case stats)'!A389</f>
        <v>5) Statistics on information volunteered through download forms</v>
      </c>
      <c r="B11" s="10" t="str">
        <f aca="false">+'5(User stats)&amp;6(Use case stats)'!B389</f>
        <v>Data – CDI service: Number of users is almost the same as in previous quarter, however with twice as much CDIs requested as before.
While in other interfaces the 'Academia/Research' is very dominant, we see that it's less dominant and we see higher numbers from other organisation types in the 'Data products – Catalogue' and the 'Data products – DOI landing page' (accessibile mainly from the Catalogue). 
We see higher numbers of downloads from Asia in ‘Data products – Map viewer’ and ‘Data products – Catalogue’</v>
      </c>
    </row>
    <row r="12" customFormat="false" ht="23.25" hidden="false" customHeight="false" outlineLevel="0" collapsed="false">
      <c r="A12" s="11" t="str">
        <f aca="false">'5(User stats)&amp;6(Use case stats)'!A390</f>
        <v>6) Published use cases</v>
      </c>
      <c r="B12" s="11" t="str">
        <f aca="false">+'5(User stats)&amp;6(Use case stats)'!B390</f>
        <v>New use case was published in the last week of the reported period. It was sent also to the Central Portal, but as of June, It wasn’t published yet.</v>
      </c>
    </row>
    <row r="13" customFormat="false" ht="13.8" hidden="false" customHeight="false" outlineLevel="0" collapsed="false">
      <c r="A13" s="10" t="str">
        <f aca="false">'8(User friendliness)'!A74</f>
        <v>8.1) Technical monitoring</v>
      </c>
      <c r="B13" s="10" t="str">
        <f aca="false">+'8(User friendliness)'!B74</f>
        <v>Excellent.</v>
      </c>
    </row>
    <row r="14" customFormat="false" ht="13.8" hidden="false" customHeight="false" outlineLevel="0" collapsed="false">
      <c r="A14" s="11" t="str">
        <f aca="false">'8(User friendliness)'!A75</f>
        <v>8.2) Visual Harmonisation score</v>
      </c>
      <c r="B14" s="11" t="str">
        <f aca="false">+'8(User friendliness)'!B75</f>
        <v>There is no change in the good harmonisation score.</v>
      </c>
    </row>
    <row r="15" customFormat="false" ht="23.25" hidden="false" customHeight="false" outlineLevel="0" collapsed="false">
      <c r="A15" s="10" t="str">
        <f aca="false">'9-10-11(User stats)'!A81</f>
        <v>9) Visibility &amp; analytics for web pages</v>
      </c>
      <c r="B15" s="10" t="str">
        <f aca="false">'9-10-11(User stats)'!B81</f>
        <v>Due to Matomo issue, there is no data for the first week of the reported period. Home page became the most visited page. There is a big increase. Also the products page is more visited compared to the previous period. Less need for the Help page.</v>
      </c>
    </row>
    <row r="16" customFormat="false" ht="23.25" hidden="false" customHeight="false" outlineLevel="0" collapsed="false">
      <c r="A16" s="11" t="str">
        <f aca="false">'9-10-11(User stats)'!A82</f>
        <v>10) Visibility &amp; analytics for web sections</v>
      </c>
      <c r="B16" s="9" t="str">
        <f aca="false">'9-10-11(User stats)'!B82</f>
        <v>Due to Matomo issue, there is no data for the first week of the reported period. Also in the web sections graph we see more traffic for Home and Products.</v>
      </c>
    </row>
    <row r="17" customFormat="false" ht="23.25" hidden="false" customHeight="false" outlineLevel="0" collapsed="false">
      <c r="A17" s="10" t="str">
        <f aca="false">'9-10-11(User stats)'!A83</f>
        <v>11) Average visit duration for web pages</v>
      </c>
      <c r="B17" s="10" t="str">
        <f aca="false">'9-10-11(User stats)'!B83</f>
        <v>Due to Matomo issue, there is no data for the first week of the reported period. Data web page continues to be the one with higher visit duration. </v>
      </c>
    </row>
    <row r="18" customFormat="false" ht="13.8" hidden="false" customHeight="false" outlineLevel="0" collapsed="false">
      <c r="A18" s="12"/>
    </row>
    <row r="19" customFormat="false" ht="13.8" hidden="false" customHeight="false" outlineLevel="0" collapsed="false">
      <c r="A19" s="13"/>
    </row>
    <row r="20" customFormat="false" ht="13.8" hidden="false" customHeight="false" outlineLevel="0" collapsed="false">
      <c r="A20" s="13"/>
    </row>
    <row r="21" customFormat="false" ht="13.8" hidden="false" customHeight="false" outlineLevel="0" collapsed="false">
      <c r="A21" s="13"/>
    </row>
    <row r="22" customFormat="false" ht="13.8" hidden="false" customHeight="false" outlineLevel="0" collapsed="false">
      <c r="A22" s="13"/>
    </row>
    <row r="23" customFormat="false" ht="13.8" hidden="false" customHeight="false" outlineLevel="0" collapsed="false">
      <c r="A23" s="13"/>
    </row>
  </sheetData>
  <mergeCells count="1">
    <mergeCell ref="A1:B1"/>
  </mergeCells>
  <printOptions headings="false" gridLines="false" gridLinesSet="true" horizontalCentered="false" verticalCentered="false"/>
  <pageMargins left="0.7" right="0.7" top="0.75" bottom="0.75"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Q64"/>
  <sheetViews>
    <sheetView showFormulas="false" showGridLines="true" showRowColHeaders="true" showZeros="true" rightToLeft="false" tabSelected="false" showOutlineSymbols="true" defaultGridColor="true" view="normal" topLeftCell="A28" colorId="64" zoomScale="100" zoomScaleNormal="100" zoomScalePageLayoutView="100" workbookViewId="0">
      <selection pane="topLeft" activeCell="E9" activeCellId="0" sqref="E9"/>
    </sheetView>
  </sheetViews>
  <sheetFormatPr defaultColWidth="9.14453125" defaultRowHeight="13.8" zeroHeight="false" outlineLevelRow="0" outlineLevelCol="0"/>
  <cols>
    <col collapsed="false" customWidth="true" hidden="false" outlineLevel="0" max="1" min="1" style="14" width="23.72"/>
    <col collapsed="false" customWidth="true" hidden="false" outlineLevel="0" max="2" min="2" style="14" width="16.71"/>
    <col collapsed="false" customWidth="true" hidden="false" outlineLevel="0" max="3" min="3" style="14" width="14.43"/>
    <col collapsed="false" customWidth="true" hidden="false" outlineLevel="0" max="4" min="4" style="14" width="16.71"/>
    <col collapsed="false" customWidth="true" hidden="false" outlineLevel="0" max="5" min="5" style="14" width="17.85"/>
    <col collapsed="false" customWidth="true" hidden="false" outlineLevel="0" max="6" min="6" style="14" width="16.14"/>
    <col collapsed="false" customWidth="true" hidden="false" outlineLevel="0" max="7" min="7" style="14" width="14.71"/>
    <col collapsed="false" customWidth="true" hidden="false" outlineLevel="0" max="8" min="8" style="14" width="15"/>
    <col collapsed="false" customWidth="true" hidden="false" outlineLevel="0" max="9" min="9" style="14" width="16.28"/>
    <col collapsed="false" customWidth="true" hidden="false" outlineLevel="0" max="10" min="10" style="14" width="13"/>
    <col collapsed="false" customWidth="true" hidden="false" outlineLevel="0" max="11" min="11" style="14" width="18.85"/>
    <col collapsed="false" customWidth="true" hidden="false" outlineLevel="0" max="12" min="12" style="14" width="14.14"/>
    <col collapsed="false" customWidth="true" hidden="false" outlineLevel="0" max="13" min="13" style="14" width="14.28"/>
    <col collapsed="false" customWidth="true" hidden="false" outlineLevel="0" max="14" min="14" style="14" width="15.14"/>
    <col collapsed="false" customWidth="true" hidden="false" outlineLevel="0" max="15" min="15" style="14" width="16.14"/>
    <col collapsed="false" customWidth="true" hidden="false" outlineLevel="0" max="16" min="16" style="14" width="24.72"/>
    <col collapsed="false" customWidth="true" hidden="false" outlineLevel="0" max="17" min="17" style="14" width="19.28"/>
    <col collapsed="false" customWidth="true" hidden="false" outlineLevel="0" max="18" min="18" style="14" width="20"/>
    <col collapsed="false" customWidth="true" hidden="false" outlineLevel="0" max="19" min="19" style="14" width="12.14"/>
    <col collapsed="false" customWidth="false" hidden="false" outlineLevel="0" max="20" min="20" style="14" width="9.14"/>
    <col collapsed="false" customWidth="true" hidden="false" outlineLevel="0" max="21" min="21" style="14" width="10.28"/>
    <col collapsed="false" customWidth="true" hidden="false" outlineLevel="0" max="22" min="22" style="14" width="12"/>
    <col collapsed="false" customWidth="false" hidden="false" outlineLevel="0" max="1024" min="23" style="14" width="9.14"/>
  </cols>
  <sheetData>
    <row r="1" customFormat="false" ht="15" hidden="false" customHeight="false" outlineLevel="0" collapsed="false">
      <c r="A1" s="15" t="s">
        <v>5</v>
      </c>
    </row>
    <row r="2" customFormat="false" ht="13.8" hidden="false" customHeight="false" outlineLevel="0" collapsed="false">
      <c r="A2" s="16" t="s">
        <v>6</v>
      </c>
      <c r="B2" s="1"/>
      <c r="C2" s="1"/>
      <c r="D2" s="1"/>
      <c r="E2" s="1"/>
      <c r="F2" s="1"/>
      <c r="G2" s="1"/>
      <c r="H2" s="1"/>
      <c r="I2" s="1"/>
      <c r="J2" s="1"/>
      <c r="K2" s="1"/>
      <c r="L2" s="1"/>
      <c r="M2" s="1"/>
      <c r="N2" s="1"/>
      <c r="O2" s="1"/>
      <c r="P2" s="1"/>
      <c r="Q2" s="1"/>
    </row>
    <row r="3" customFormat="false" ht="13.8" hidden="false" customHeight="false" outlineLevel="0" collapsed="false">
      <c r="A3" s="16" t="s">
        <v>7</v>
      </c>
      <c r="B3" s="1"/>
      <c r="C3" s="1"/>
      <c r="D3" s="1"/>
      <c r="E3" s="1"/>
      <c r="F3" s="1"/>
      <c r="G3" s="1"/>
      <c r="H3" s="1"/>
      <c r="I3" s="1"/>
      <c r="J3" s="1"/>
      <c r="K3" s="1"/>
      <c r="L3" s="1"/>
      <c r="M3" s="1"/>
      <c r="N3" s="1"/>
      <c r="O3" s="1"/>
      <c r="P3" s="1"/>
      <c r="Q3" s="1"/>
    </row>
    <row r="4" customFormat="false" ht="13.8" hidden="false" customHeight="false" outlineLevel="0" collapsed="false">
      <c r="A4" s="17" t="s">
        <v>8</v>
      </c>
      <c r="B4" s="18"/>
      <c r="C4" s="18"/>
      <c r="D4" s="18"/>
      <c r="E4" s="18"/>
      <c r="F4" s="18"/>
      <c r="G4" s="18"/>
      <c r="H4" s="18"/>
      <c r="I4" s="18"/>
      <c r="J4" s="18"/>
      <c r="K4" s="18"/>
      <c r="L4" s="18"/>
      <c r="M4" s="18"/>
      <c r="N4" s="18"/>
      <c r="O4" s="18"/>
      <c r="P4" s="18"/>
      <c r="Q4" s="18"/>
    </row>
    <row r="5" customFormat="false" ht="32.25" hidden="false" customHeight="true" outlineLevel="0" collapsed="false">
      <c r="A5" s="19" t="s">
        <v>9</v>
      </c>
      <c r="B5" s="19" t="s">
        <v>10</v>
      </c>
      <c r="C5" s="19" t="s">
        <v>11</v>
      </c>
      <c r="H5" s="20"/>
      <c r="I5" s="20"/>
      <c r="J5" s="20"/>
      <c r="K5" s="20"/>
      <c r="L5" s="20"/>
      <c r="M5" s="20"/>
      <c r="N5" s="20"/>
      <c r="O5" s="20"/>
      <c r="P5" s="20"/>
      <c r="Q5" s="20"/>
    </row>
    <row r="6" customFormat="false" ht="18" hidden="false" customHeight="true" outlineLevel="0" collapsed="false">
      <c r="A6" s="21" t="n">
        <v>44378</v>
      </c>
      <c r="B6" s="22" t="s">
        <v>12</v>
      </c>
      <c r="C6" s="22" t="s">
        <v>13</v>
      </c>
      <c r="E6" s="20"/>
      <c r="F6" s="20"/>
      <c r="G6" s="20"/>
      <c r="H6" s="20"/>
      <c r="I6" s="20"/>
      <c r="J6" s="20"/>
      <c r="K6" s="20"/>
      <c r="L6" s="20"/>
      <c r="M6" s="20"/>
      <c r="N6" s="20"/>
      <c r="O6" s="20"/>
      <c r="P6" s="20"/>
      <c r="Q6" s="20"/>
    </row>
    <row r="7" customFormat="false" ht="13.8" hidden="false" customHeight="false" outlineLevel="0" collapsed="false">
      <c r="B7" s="23"/>
      <c r="C7" s="23"/>
      <c r="D7" s="23"/>
    </row>
    <row r="8" customFormat="false" ht="47.65" hidden="false" customHeight="false" outlineLevel="0" collapsed="false">
      <c r="A8" s="24" t="s">
        <v>14</v>
      </c>
      <c r="B8" s="25" t="s">
        <v>15</v>
      </c>
      <c r="C8" s="25" t="s">
        <v>16</v>
      </c>
      <c r="D8" s="25" t="s">
        <v>17</v>
      </c>
      <c r="E8" s="25" t="s">
        <v>18</v>
      </c>
    </row>
    <row r="9" customFormat="false" ht="59.3" hidden="false" customHeight="false" outlineLevel="0" collapsed="false">
      <c r="A9" s="26" t="s">
        <v>12</v>
      </c>
      <c r="B9" s="27" t="n">
        <v>1077297</v>
      </c>
      <c r="C9" s="27" t="n">
        <v>1051702</v>
      </c>
      <c r="D9" s="27" t="n">
        <f aca="false">ROUND((100*(B9-C9)/C9),2)</f>
        <v>2.43</v>
      </c>
      <c r="E9" s="28" t="s">
        <v>19</v>
      </c>
    </row>
    <row r="10" customFormat="false" ht="13.8" hidden="false" customHeight="false" outlineLevel="0" collapsed="false">
      <c r="A10" s="26"/>
      <c r="B10" s="27"/>
      <c r="C10" s="27"/>
      <c r="D10" s="27"/>
      <c r="E10" s="27"/>
    </row>
    <row r="11" customFormat="false" ht="13.8" hidden="false" customHeight="false" outlineLevel="0" collapsed="false">
      <c r="A11" s="26"/>
      <c r="B11" s="27"/>
      <c r="C11" s="27"/>
      <c r="D11" s="27"/>
      <c r="E11" s="27"/>
    </row>
    <row r="12" customFormat="false" ht="13.8" hidden="false" customHeight="false" outlineLevel="0" collapsed="false">
      <c r="A12" s="26"/>
      <c r="B12" s="27"/>
      <c r="C12" s="27"/>
      <c r="D12" s="27"/>
      <c r="E12" s="27"/>
    </row>
    <row r="13" customFormat="false" ht="13.8" hidden="false" customHeight="false" outlineLevel="0" collapsed="false">
      <c r="A13" s="26"/>
      <c r="B13" s="27"/>
      <c r="C13" s="27"/>
      <c r="D13" s="27"/>
      <c r="E13" s="27"/>
    </row>
    <row r="14" customFormat="false" ht="17.45" hidden="false" customHeight="true" outlineLevel="0" collapsed="false">
      <c r="A14" s="26"/>
      <c r="B14" s="27"/>
      <c r="C14" s="27"/>
      <c r="D14" s="27"/>
      <c r="E14" s="27"/>
    </row>
    <row r="15" customFormat="false" ht="15" hidden="false" customHeight="true" outlineLevel="0" collapsed="false">
      <c r="A15" s="26"/>
      <c r="B15" s="27"/>
      <c r="C15" s="27"/>
      <c r="D15" s="27"/>
      <c r="E15" s="27"/>
    </row>
    <row r="16" customFormat="false" ht="13.8" hidden="false" customHeight="false" outlineLevel="0" collapsed="false">
      <c r="A16" s="26"/>
      <c r="B16" s="27"/>
      <c r="C16" s="27"/>
      <c r="D16" s="27"/>
      <c r="E16" s="27"/>
    </row>
    <row r="18" customFormat="false" ht="17.25" hidden="false" customHeight="true" outlineLevel="0" collapsed="false">
      <c r="B18" s="29" t="s">
        <v>20</v>
      </c>
      <c r="C18" s="29"/>
      <c r="D18" s="29"/>
      <c r="E18" s="29"/>
      <c r="F18" s="29"/>
      <c r="G18" s="29"/>
      <c r="H18" s="29"/>
      <c r="I18" s="29"/>
      <c r="J18" s="29"/>
      <c r="K18" s="29"/>
      <c r="L18" s="29"/>
      <c r="M18" s="29"/>
      <c r="N18" s="29"/>
      <c r="O18" s="29"/>
    </row>
    <row r="19" customFormat="false" ht="15" hidden="false" customHeight="true" outlineLevel="0" collapsed="false">
      <c r="B19" s="30" t="s">
        <v>21</v>
      </c>
      <c r="C19" s="30"/>
      <c r="D19" s="30" t="s">
        <v>22</v>
      </c>
      <c r="E19" s="30"/>
      <c r="F19" s="30" t="s">
        <v>23</v>
      </c>
      <c r="G19" s="30"/>
      <c r="H19" s="30" t="s">
        <v>24</v>
      </c>
      <c r="I19" s="30"/>
      <c r="J19" s="30" t="s">
        <v>25</v>
      </c>
      <c r="K19" s="30"/>
      <c r="L19" s="30" t="s">
        <v>26</v>
      </c>
      <c r="M19" s="30"/>
      <c r="N19" s="30" t="s">
        <v>27</v>
      </c>
      <c r="O19" s="30"/>
    </row>
    <row r="20" customFormat="false" ht="36" hidden="false" customHeight="false" outlineLevel="0" collapsed="false">
      <c r="A20" s="24" t="s">
        <v>28</v>
      </c>
      <c r="B20" s="31" t="s">
        <v>29</v>
      </c>
      <c r="C20" s="31" t="s">
        <v>30</v>
      </c>
      <c r="D20" s="31" t="s">
        <v>29</v>
      </c>
      <c r="E20" s="31" t="s">
        <v>30</v>
      </c>
      <c r="F20" s="31" t="s">
        <v>29</v>
      </c>
      <c r="G20" s="31" t="s">
        <v>30</v>
      </c>
      <c r="H20" s="31" t="s">
        <v>29</v>
      </c>
      <c r="I20" s="31" t="s">
        <v>30</v>
      </c>
      <c r="J20" s="31" t="s">
        <v>29</v>
      </c>
      <c r="K20" s="31" t="s">
        <v>30</v>
      </c>
      <c r="L20" s="31" t="s">
        <v>29</v>
      </c>
      <c r="M20" s="31" t="s">
        <v>30</v>
      </c>
      <c r="N20" s="31" t="s">
        <v>29</v>
      </c>
      <c r="O20" s="31" t="s">
        <v>30</v>
      </c>
    </row>
    <row r="21" customFormat="false" ht="13.95" hidden="false" customHeight="false" outlineLevel="0" collapsed="false">
      <c r="A21" s="32" t="s">
        <v>31</v>
      </c>
      <c r="B21" s="33" t="n">
        <v>6856</v>
      </c>
      <c r="C21" s="33" t="n">
        <f aca="false">6856-6819</f>
        <v>37</v>
      </c>
      <c r="D21" s="33" t="n">
        <v>3316</v>
      </c>
      <c r="E21" s="33" t="n">
        <f aca="false">3316-3316</f>
        <v>0</v>
      </c>
      <c r="F21" s="33" t="n">
        <v>32071</v>
      </c>
      <c r="G21" s="33" t="n">
        <f aca="false">32071-32071</f>
        <v>0</v>
      </c>
      <c r="H21" s="33" t="n">
        <v>39010</v>
      </c>
      <c r="I21" s="33" t="n">
        <f aca="false">39010-38304</f>
        <v>706</v>
      </c>
      <c r="J21" s="33" t="n">
        <v>40355</v>
      </c>
      <c r="K21" s="33" t="n">
        <f aca="false">40355-39960</f>
        <v>395</v>
      </c>
      <c r="L21" s="33" t="n">
        <v>28620</v>
      </c>
      <c r="M21" s="33" t="n">
        <f aca="false">28620-28470</f>
        <v>150</v>
      </c>
      <c r="N21" s="33" t="n">
        <v>29507</v>
      </c>
      <c r="O21" s="33" t="n">
        <f aca="false">29507-29164</f>
        <v>343</v>
      </c>
    </row>
    <row r="22" customFormat="false" ht="13.8" hidden="false" customHeight="false" outlineLevel="0" collapsed="false">
      <c r="A22" s="34" t="s">
        <v>32</v>
      </c>
      <c r="B22" s="33" t="n">
        <v>94</v>
      </c>
      <c r="C22" s="33" t="n">
        <f aca="false">94-94</f>
        <v>0</v>
      </c>
      <c r="D22" s="33" t="n">
        <v>0</v>
      </c>
      <c r="E22" s="33" t="n">
        <f aca="false">0-0</f>
        <v>0</v>
      </c>
      <c r="F22" s="33" t="n">
        <v>399</v>
      </c>
      <c r="G22" s="33" t="n">
        <f aca="false">399-399</f>
        <v>0</v>
      </c>
      <c r="H22" s="33" t="n">
        <v>80</v>
      </c>
      <c r="I22" s="33" t="n">
        <f aca="false">80-80</f>
        <v>0</v>
      </c>
      <c r="J22" s="33" t="n">
        <v>1966</v>
      </c>
      <c r="K22" s="33" t="n">
        <f aca="false">1966-1966</f>
        <v>0</v>
      </c>
      <c r="L22" s="33" t="n">
        <v>2572</v>
      </c>
      <c r="M22" s="33" t="n">
        <f aca="false">2572-2572</f>
        <v>0</v>
      </c>
      <c r="N22" s="33" t="n">
        <v>0</v>
      </c>
      <c r="O22" s="33" t="n">
        <f aca="false">0-0</f>
        <v>0</v>
      </c>
    </row>
    <row r="23" customFormat="false" ht="13.8" hidden="false" customHeight="false" outlineLevel="0" collapsed="false">
      <c r="A23" s="34" t="s">
        <v>33</v>
      </c>
      <c r="B23" s="33" t="n">
        <v>11551</v>
      </c>
      <c r="C23" s="33" t="n">
        <f aca="false">11551-11456</f>
        <v>95</v>
      </c>
      <c r="D23" s="33" t="n">
        <v>23239</v>
      </c>
      <c r="E23" s="33" t="n">
        <f aca="false">23239-22068</f>
        <v>1171</v>
      </c>
      <c r="F23" s="33" t="n">
        <v>87641</v>
      </c>
      <c r="G23" s="33" t="n">
        <f aca="false">87641-87171</f>
        <v>470</v>
      </c>
      <c r="H23" s="33" t="n">
        <v>4865</v>
      </c>
      <c r="I23" s="33" t="n">
        <f aca="false">4865-4524</f>
        <v>341</v>
      </c>
      <c r="J23" s="33" t="n">
        <v>45976</v>
      </c>
      <c r="K23" s="33" t="n">
        <f aca="false">45976-41251</f>
        <v>4725</v>
      </c>
      <c r="L23" s="33" t="n">
        <v>106331</v>
      </c>
      <c r="M23" s="33" t="n">
        <f aca="false">106331-106135</f>
        <v>196</v>
      </c>
      <c r="N23" s="33" t="n">
        <v>33845</v>
      </c>
      <c r="O23" s="33" t="n">
        <f aca="false">33845-20630</f>
        <v>13215</v>
      </c>
    </row>
    <row r="24" customFormat="false" ht="13.8" hidden="false" customHeight="false" outlineLevel="0" collapsed="false">
      <c r="A24" s="34" t="s">
        <v>34</v>
      </c>
      <c r="B24" s="33" t="n">
        <v>29241</v>
      </c>
      <c r="C24" s="33" t="n">
        <f aca="false">29241-28926</f>
        <v>315</v>
      </c>
      <c r="D24" s="33" t="n">
        <v>23581</v>
      </c>
      <c r="E24" s="33" t="n">
        <f aca="false">23581-22740</f>
        <v>841</v>
      </c>
      <c r="F24" s="33" t="n">
        <v>190947</v>
      </c>
      <c r="G24" s="33" t="n">
        <f aca="false">190947-190377</f>
        <v>570</v>
      </c>
      <c r="H24" s="33" t="n">
        <v>53466</v>
      </c>
      <c r="I24" s="33" t="n">
        <f aca="false">53466-52357</f>
        <v>1109</v>
      </c>
      <c r="J24" s="33" t="n">
        <v>110118</v>
      </c>
      <c r="K24" s="33" t="n">
        <f aca="false">110118-103963</f>
        <v>6155</v>
      </c>
      <c r="L24" s="33" t="n">
        <v>185821</v>
      </c>
      <c r="M24" s="33" t="n">
        <f aca="false">185821-185606</f>
        <v>215</v>
      </c>
      <c r="N24" s="33" t="n">
        <v>122049</v>
      </c>
      <c r="O24" s="33" t="n">
        <f aca="false">122049-103708</f>
        <v>18341</v>
      </c>
    </row>
    <row r="25" customFormat="false" ht="13.8" hidden="false" customHeight="false" outlineLevel="0" collapsed="false">
      <c r="A25" s="34" t="s">
        <v>35</v>
      </c>
      <c r="B25" s="33" t="n">
        <v>18712</v>
      </c>
      <c r="C25" s="33" t="n">
        <f aca="false">18712-18712</f>
        <v>0</v>
      </c>
      <c r="D25" s="33" t="n">
        <v>39044</v>
      </c>
      <c r="E25" s="33" t="n">
        <f aca="false">39044-38826</f>
        <v>218</v>
      </c>
      <c r="F25" s="33" t="n">
        <v>121963</v>
      </c>
      <c r="G25" s="33" t="n">
        <f aca="false">121963-121963</f>
        <v>0</v>
      </c>
      <c r="H25" s="33" t="n">
        <v>41760</v>
      </c>
      <c r="I25" s="33" t="n">
        <f aca="false">41760-41271</f>
        <v>489</v>
      </c>
      <c r="J25" s="33" t="n">
        <v>51834</v>
      </c>
      <c r="K25" s="33" t="n">
        <f aca="false">51834-48647</f>
        <v>3187</v>
      </c>
      <c r="L25" s="33" t="n">
        <v>159220</v>
      </c>
      <c r="M25" s="33" t="n">
        <f aca="false">159220-159220</f>
        <v>0</v>
      </c>
      <c r="N25" s="33" t="n">
        <v>59249</v>
      </c>
      <c r="O25" s="33" t="n">
        <f aca="false">59249-53784</f>
        <v>5465</v>
      </c>
    </row>
    <row r="26" customFormat="false" ht="13.8" hidden="false" customHeight="false" outlineLevel="0" collapsed="false">
      <c r="A26" s="34" t="s">
        <v>36</v>
      </c>
      <c r="B26" s="33" t="n">
        <v>2848</v>
      </c>
      <c r="C26" s="33" t="n">
        <f aca="false">2848-2848</f>
        <v>0</v>
      </c>
      <c r="D26" s="33" t="n">
        <v>330</v>
      </c>
      <c r="E26" s="33" t="n">
        <f aca="false">330-330</f>
        <v>0</v>
      </c>
      <c r="F26" s="33" t="n">
        <v>4283</v>
      </c>
      <c r="G26" s="33" t="n">
        <f aca="false">4283-4283</f>
        <v>0</v>
      </c>
      <c r="H26" s="33" t="n">
        <v>6320</v>
      </c>
      <c r="I26" s="33" t="n">
        <f aca="false">6320-6320</f>
        <v>0</v>
      </c>
      <c r="J26" s="33" t="n">
        <v>11712</v>
      </c>
      <c r="K26" s="33" t="n">
        <f aca="false">11712-11664</f>
        <v>48</v>
      </c>
      <c r="L26" s="33" t="n">
        <v>27078</v>
      </c>
      <c r="M26" s="33" t="n">
        <f aca="false">27078-27078</f>
        <v>0</v>
      </c>
      <c r="N26" s="33" t="n">
        <v>2774</v>
      </c>
      <c r="O26" s="33" t="n">
        <f aca="false">2774-2774</f>
        <v>0</v>
      </c>
    </row>
    <row r="27" customFormat="false" ht="13.8" hidden="false" customHeight="false" outlineLevel="0" collapsed="false">
      <c r="A27" s="34" t="s">
        <v>37</v>
      </c>
      <c r="B27" s="33" t="n">
        <v>1419</v>
      </c>
      <c r="C27" s="33" t="n">
        <f aca="false">1419-1419</f>
        <v>0</v>
      </c>
      <c r="D27" s="33" t="n">
        <v>251</v>
      </c>
      <c r="E27" s="33" t="n">
        <f aca="false">251-251</f>
        <v>0</v>
      </c>
      <c r="F27" s="33" t="n">
        <v>1388</v>
      </c>
      <c r="G27" s="33" t="n">
        <f aca="false">1388-1388</f>
        <v>0</v>
      </c>
      <c r="H27" s="33" t="n">
        <v>19394</v>
      </c>
      <c r="I27" s="33" t="n">
        <f aca="false">19394-19394</f>
        <v>0</v>
      </c>
      <c r="J27" s="33" t="n">
        <v>6765</v>
      </c>
      <c r="K27" s="33" t="n">
        <f aca="false">6765-6750</f>
        <v>15</v>
      </c>
      <c r="L27" s="33" t="n">
        <v>16028</v>
      </c>
      <c r="M27" s="33" t="n">
        <f aca="false">16028-16028</f>
        <v>0</v>
      </c>
      <c r="N27" s="33" t="n">
        <v>1660</v>
      </c>
      <c r="O27" s="33" t="n">
        <f aca="false">1660-1660</f>
        <v>0</v>
      </c>
    </row>
    <row r="28" customFormat="false" ht="13.8" hidden="false" customHeight="false" outlineLevel="0" collapsed="false">
      <c r="A28" s="34" t="s">
        <v>38</v>
      </c>
      <c r="B28" s="33" t="n">
        <v>1871</v>
      </c>
      <c r="C28" s="33" t="n">
        <f aca="false">1871-3386</f>
        <v>-1515</v>
      </c>
      <c r="D28" s="33" t="n">
        <v>132</v>
      </c>
      <c r="E28" s="33" t="n">
        <f aca="false">132-132</f>
        <v>0</v>
      </c>
      <c r="F28" s="33" t="n">
        <v>2743</v>
      </c>
      <c r="G28" s="33" t="n">
        <f aca="false">2743-5665</f>
        <v>-2922</v>
      </c>
      <c r="H28" s="33" t="n">
        <v>844</v>
      </c>
      <c r="I28" s="33" t="n">
        <f aca="false">844-552</f>
        <v>292</v>
      </c>
      <c r="J28" s="33" t="n">
        <v>4401</v>
      </c>
      <c r="K28" s="33" t="n">
        <f aca="false">4401-4220</f>
        <v>181</v>
      </c>
      <c r="L28" s="33" t="n">
        <v>4438</v>
      </c>
      <c r="M28" s="33" t="n">
        <f aca="false">4438-9265</f>
        <v>-4827</v>
      </c>
      <c r="N28" s="33" t="n">
        <v>60</v>
      </c>
      <c r="O28" s="33" t="n">
        <f aca="false">60-93</f>
        <v>-33</v>
      </c>
    </row>
    <row r="29" customFormat="false" ht="13.8" hidden="false" customHeight="false" outlineLevel="0" collapsed="false">
      <c r="A29" s="34" t="s">
        <v>39</v>
      </c>
      <c r="B29" s="33" t="n">
        <v>1805</v>
      </c>
      <c r="C29" s="33" t="n">
        <f aca="false">1805-1805</f>
        <v>0</v>
      </c>
      <c r="D29" s="33" t="n">
        <v>165</v>
      </c>
      <c r="E29" s="33" t="n">
        <f aca="false">165-165</f>
        <v>0</v>
      </c>
      <c r="F29" s="33" t="n">
        <v>11029</v>
      </c>
      <c r="G29" s="33" t="n">
        <f aca="false">11029-11029</f>
        <v>0</v>
      </c>
      <c r="H29" s="33" t="n">
        <v>1839</v>
      </c>
      <c r="I29" s="33" t="n">
        <f aca="false">1839-1839</f>
        <v>0</v>
      </c>
      <c r="J29" s="33" t="n">
        <v>9387</v>
      </c>
      <c r="K29" s="33" t="n">
        <f aca="false">9387-9707</f>
        <v>-320</v>
      </c>
      <c r="L29" s="33" t="n">
        <v>31776</v>
      </c>
      <c r="M29" s="33" t="n">
        <f aca="false">31776-31776</f>
        <v>0</v>
      </c>
      <c r="N29" s="33" t="n">
        <v>1988</v>
      </c>
      <c r="O29" s="33" t="n">
        <f aca="false">1988-1963</f>
        <v>25</v>
      </c>
    </row>
    <row r="30" customFormat="false" ht="13.8" hidden="false" customHeight="false" outlineLevel="0" collapsed="false">
      <c r="A30" s="34" t="s">
        <v>40</v>
      </c>
      <c r="B30" s="33" t="n">
        <v>542</v>
      </c>
      <c r="C30" s="33" t="n">
        <f aca="false">542-542</f>
        <v>0</v>
      </c>
      <c r="D30" s="33" t="n">
        <v>713</v>
      </c>
      <c r="E30" s="33" t="n">
        <f aca="false">713-713</f>
        <v>0</v>
      </c>
      <c r="F30" s="33" t="n">
        <v>1631</v>
      </c>
      <c r="G30" s="33" t="n">
        <f aca="false">1631-1631</f>
        <v>0</v>
      </c>
      <c r="H30" s="33" t="n">
        <v>16487</v>
      </c>
      <c r="I30" s="33" t="n">
        <f aca="false">16487-16188</f>
        <v>299</v>
      </c>
      <c r="J30" s="33" t="n">
        <v>3887</v>
      </c>
      <c r="K30" s="33" t="n">
        <f aca="false">3887-3887</f>
        <v>0</v>
      </c>
      <c r="L30" s="33" t="n">
        <v>9864</v>
      </c>
      <c r="M30" s="33" t="n">
        <f aca="false">9864-9864</f>
        <v>0</v>
      </c>
      <c r="N30" s="33" t="n">
        <v>1064</v>
      </c>
      <c r="O30" s="33" t="n">
        <f aca="false">1064-1064</f>
        <v>0</v>
      </c>
    </row>
    <row r="31" customFormat="false" ht="15.6" hidden="false" customHeight="true" outlineLevel="0" collapsed="false">
      <c r="A31" s="34" t="s">
        <v>41</v>
      </c>
      <c r="B31" s="33" t="n">
        <v>519</v>
      </c>
      <c r="C31" s="33" t="n">
        <f aca="false">519-519</f>
        <v>0</v>
      </c>
      <c r="D31" s="33" t="n">
        <v>178</v>
      </c>
      <c r="E31" s="33" t="n">
        <f aca="false">178-178</f>
        <v>0</v>
      </c>
      <c r="F31" s="33" t="n">
        <v>946</v>
      </c>
      <c r="G31" s="33" t="n">
        <f aca="false">946-946</f>
        <v>0</v>
      </c>
      <c r="H31" s="33" t="n">
        <v>2029</v>
      </c>
      <c r="I31" s="33" t="n">
        <f aca="false">2029-2029</f>
        <v>0</v>
      </c>
      <c r="J31" s="33" t="n">
        <v>2575</v>
      </c>
      <c r="K31" s="33" t="n">
        <f aca="false">2575-2575</f>
        <v>0</v>
      </c>
      <c r="L31" s="33" t="n">
        <v>14374</v>
      </c>
      <c r="M31" s="33" t="n">
        <f aca="false">14374-14374</f>
        <v>0</v>
      </c>
      <c r="N31" s="33" t="n">
        <v>12</v>
      </c>
      <c r="O31" s="33" t="n">
        <f aca="false">12-12</f>
        <v>0</v>
      </c>
    </row>
    <row r="32" customFormat="false" ht="13.8" hidden="false" customHeight="false" outlineLevel="0" collapsed="false">
      <c r="A32" s="35" t="s">
        <v>42</v>
      </c>
      <c r="B32" s="33" t="n">
        <v>0</v>
      </c>
      <c r="C32" s="33" t="n">
        <f aca="false">0-0</f>
        <v>0</v>
      </c>
      <c r="D32" s="33" t="n">
        <v>19</v>
      </c>
      <c r="E32" s="33" t="n">
        <f aca="false">19-19</f>
        <v>0</v>
      </c>
      <c r="F32" s="33" t="n">
        <v>509</v>
      </c>
      <c r="G32" s="33" t="n">
        <f aca="false">509-509</f>
        <v>0</v>
      </c>
      <c r="H32" s="33" t="n">
        <v>1707</v>
      </c>
      <c r="I32" s="33" t="n">
        <f aca="false">1707-1707</f>
        <v>0</v>
      </c>
      <c r="J32" s="33" t="n">
        <v>162</v>
      </c>
      <c r="K32" s="33" t="n">
        <f aca="false">162-162</f>
        <v>0</v>
      </c>
      <c r="L32" s="33" t="n">
        <v>732</v>
      </c>
      <c r="M32" s="33" t="n">
        <f aca="false">732-732</f>
        <v>0</v>
      </c>
      <c r="N32" s="33" t="n">
        <v>0</v>
      </c>
      <c r="O32" s="33" t="n">
        <f aca="false">0-0</f>
        <v>0</v>
      </c>
    </row>
    <row r="33" customFormat="false" ht="13.8" hidden="false" customHeight="false" outlineLevel="0" collapsed="false">
      <c r="A33" s="35" t="s">
        <v>43</v>
      </c>
      <c r="B33" s="36" t="n">
        <v>11356</v>
      </c>
      <c r="C33" s="36" t="n">
        <f aca="false">11356-11356</f>
        <v>0</v>
      </c>
      <c r="D33" s="36" t="n">
        <v>34056</v>
      </c>
      <c r="E33" s="36" t="n">
        <f aca="false">34056-34056</f>
        <v>0</v>
      </c>
      <c r="F33" s="36" t="n">
        <v>92666</v>
      </c>
      <c r="G33" s="36" t="n">
        <f aca="false">92666-92666</f>
        <v>0</v>
      </c>
      <c r="H33" s="36" t="n">
        <v>36201</v>
      </c>
      <c r="I33" s="36" t="n">
        <f aca="false">35742-35742</f>
        <v>0</v>
      </c>
      <c r="J33" s="36" t="n">
        <v>37452</v>
      </c>
      <c r="K33" s="36" t="n">
        <f aca="false">37452-37139</f>
        <v>313</v>
      </c>
      <c r="L33" s="36" t="n">
        <v>122504</v>
      </c>
      <c r="M33" s="36" t="n">
        <f aca="false">122504-122504</f>
        <v>0</v>
      </c>
      <c r="N33" s="36" t="n">
        <v>29627</v>
      </c>
      <c r="O33" s="36" t="n">
        <f aca="false">29627-29519</f>
        <v>108</v>
      </c>
    </row>
    <row r="34" customFormat="false" ht="13.8" hidden="false" customHeight="false" outlineLevel="0" collapsed="false">
      <c r="A34" s="37"/>
      <c r="B34" s="38"/>
      <c r="C34" s="38"/>
      <c r="D34" s="38"/>
      <c r="E34" s="38"/>
      <c r="F34" s="38"/>
      <c r="G34" s="38"/>
      <c r="H34" s="38"/>
      <c r="I34" s="38"/>
      <c r="J34" s="38"/>
      <c r="K34" s="38"/>
      <c r="L34" s="38"/>
      <c r="M34" s="38"/>
      <c r="N34" s="38"/>
      <c r="O34" s="38"/>
    </row>
    <row r="35" customFormat="false" ht="13.8" hidden="false" customHeight="false" outlineLevel="0" collapsed="false">
      <c r="A35" s="37"/>
      <c r="B35" s="38"/>
      <c r="C35" s="38"/>
      <c r="D35" s="38"/>
      <c r="E35" s="38"/>
      <c r="F35" s="38"/>
      <c r="G35" s="38"/>
      <c r="H35" s="38"/>
      <c r="I35" s="38"/>
      <c r="J35" s="38"/>
      <c r="K35" s="38"/>
      <c r="L35" s="38"/>
      <c r="M35" s="38"/>
      <c r="N35" s="38"/>
      <c r="O35" s="38"/>
    </row>
    <row r="36" customFormat="false" ht="13.8" hidden="false" customHeight="false" outlineLevel="0" collapsed="false">
      <c r="A36" s="39" t="s">
        <v>44</v>
      </c>
      <c r="B36" s="40"/>
      <c r="C36" s="40"/>
      <c r="D36" s="40"/>
      <c r="E36" s="40"/>
      <c r="F36" s="40"/>
      <c r="G36" s="40"/>
      <c r="H36" s="40"/>
      <c r="I36" s="40"/>
      <c r="J36" s="40"/>
      <c r="K36" s="40"/>
      <c r="L36" s="40"/>
      <c r="M36" s="40"/>
      <c r="N36" s="40"/>
      <c r="O36" s="40"/>
      <c r="P36" s="40"/>
      <c r="Q36" s="40"/>
    </row>
    <row r="37" customFormat="false" ht="13.8" hidden="false" customHeight="false" outlineLevel="0" collapsed="false">
      <c r="A37" s="41" t="s">
        <v>45</v>
      </c>
      <c r="B37" s="40"/>
      <c r="C37" s="40"/>
      <c r="D37" s="40"/>
      <c r="E37" s="40"/>
      <c r="F37" s="40"/>
      <c r="G37" s="40"/>
    </row>
    <row r="38" customFormat="false" ht="13.8" hidden="false" customHeight="false" outlineLevel="0" collapsed="false">
      <c r="A38" s="41" t="s">
        <v>46</v>
      </c>
      <c r="B38" s="40"/>
      <c r="C38" s="40"/>
      <c r="D38" s="40"/>
      <c r="E38" s="40"/>
      <c r="F38" s="40"/>
      <c r="G38" s="40"/>
    </row>
    <row r="39" customFormat="false" ht="13.8" hidden="false" customHeight="false" outlineLevel="0" collapsed="false">
      <c r="A39" s="41" t="s">
        <v>47</v>
      </c>
      <c r="B39" s="40"/>
      <c r="C39" s="40"/>
      <c r="D39" s="40"/>
      <c r="E39" s="40"/>
      <c r="F39" s="40"/>
      <c r="G39" s="40"/>
    </row>
    <row r="40" customFormat="false" ht="13.8" hidden="false" customHeight="false" outlineLevel="0" collapsed="false">
      <c r="A40" s="41" t="s">
        <v>48</v>
      </c>
      <c r="B40" s="40"/>
      <c r="C40" s="40"/>
      <c r="D40" s="40"/>
      <c r="E40" s="40"/>
      <c r="F40" s="40"/>
      <c r="G40" s="40"/>
    </row>
    <row r="41" customFormat="false" ht="13.8" hidden="false" customHeight="false" outlineLevel="0" collapsed="false">
      <c r="A41" s="41" t="s">
        <v>49</v>
      </c>
      <c r="B41" s="40"/>
      <c r="C41" s="40"/>
      <c r="D41" s="40"/>
      <c r="E41" s="40"/>
      <c r="F41" s="40"/>
      <c r="G41" s="40"/>
    </row>
    <row r="42" customFormat="false" ht="13.8" hidden="false" customHeight="false" outlineLevel="0" collapsed="false">
      <c r="A42" s="41" t="s">
        <v>50</v>
      </c>
      <c r="B42" s="40"/>
      <c r="C42" s="40"/>
      <c r="D42" s="40"/>
      <c r="E42" s="40"/>
      <c r="F42" s="40"/>
      <c r="G42" s="40"/>
    </row>
    <row r="43" customFormat="false" ht="13.8" hidden="false" customHeight="false" outlineLevel="0" collapsed="false">
      <c r="A43" s="41" t="s">
        <v>51</v>
      </c>
      <c r="B43" s="40"/>
      <c r="C43" s="40"/>
      <c r="D43" s="40"/>
      <c r="E43" s="40"/>
      <c r="F43" s="40"/>
      <c r="G43" s="40"/>
    </row>
    <row r="44" customFormat="false" ht="13.8" hidden="false" customHeight="false" outlineLevel="0" collapsed="false">
      <c r="A44" s="41" t="s">
        <v>52</v>
      </c>
    </row>
    <row r="45" customFormat="false" ht="18" hidden="false" customHeight="true" outlineLevel="0" collapsed="false">
      <c r="A45" s="41" t="s">
        <v>53</v>
      </c>
    </row>
    <row r="46" customFormat="false" ht="15.6" hidden="false" customHeight="true" outlineLevel="0" collapsed="false"/>
    <row r="47" customFormat="false" ht="13.8" hidden="false" customHeight="false" outlineLevel="0" collapsed="false">
      <c r="A47" s="42"/>
      <c r="B47" s="40"/>
      <c r="C47" s="40"/>
      <c r="D47" s="40"/>
      <c r="E47" s="40"/>
      <c r="F47" s="40"/>
      <c r="G47" s="40"/>
    </row>
    <row r="48" customFormat="false" ht="13.8" hidden="false" customHeight="false" outlineLevel="0" collapsed="false">
      <c r="A48" s="17" t="s">
        <v>54</v>
      </c>
      <c r="B48" s="18"/>
      <c r="C48" s="18"/>
      <c r="D48" s="18"/>
      <c r="E48" s="18"/>
      <c r="F48" s="18"/>
      <c r="G48" s="18"/>
      <c r="H48" s="18"/>
      <c r="I48" s="18"/>
      <c r="J48" s="18"/>
      <c r="K48" s="18"/>
      <c r="L48" s="18"/>
      <c r="M48" s="18"/>
      <c r="N48" s="18"/>
      <c r="O48" s="18"/>
      <c r="P48" s="18"/>
      <c r="Q48" s="18"/>
    </row>
    <row r="49" customFormat="false" ht="13.8" hidden="false" customHeight="false" outlineLevel="0" collapsed="false">
      <c r="A49" s="43" t="s">
        <v>9</v>
      </c>
      <c r="B49" s="19" t="s">
        <v>10</v>
      </c>
      <c r="J49" s="40"/>
      <c r="K49" s="40"/>
      <c r="L49" s="40"/>
      <c r="M49" s="40"/>
      <c r="N49" s="40"/>
      <c r="O49" s="40"/>
      <c r="P49" s="40"/>
      <c r="Q49" s="40"/>
    </row>
    <row r="50" customFormat="false" ht="13.8" hidden="false" customHeight="false" outlineLevel="0" collapsed="false">
      <c r="A50" s="21" t="n">
        <v>44378</v>
      </c>
      <c r="B50" s="44" t="s">
        <v>12</v>
      </c>
      <c r="C50" s="45"/>
      <c r="J50" s="40"/>
      <c r="K50" s="40"/>
      <c r="L50" s="40"/>
      <c r="M50" s="40"/>
      <c r="N50" s="40"/>
      <c r="O50" s="40"/>
      <c r="P50" s="46"/>
    </row>
    <row r="51" customFormat="false" ht="15" hidden="false" customHeight="true" outlineLevel="0" collapsed="false">
      <c r="C51" s="30" t="s">
        <v>55</v>
      </c>
      <c r="D51" s="30"/>
      <c r="E51" s="30"/>
      <c r="F51" s="30"/>
      <c r="G51" s="30"/>
      <c r="H51" s="30" t="s">
        <v>56</v>
      </c>
      <c r="I51" s="30"/>
      <c r="J51" s="30"/>
      <c r="K51" s="30"/>
      <c r="L51" s="30"/>
      <c r="M51" s="30"/>
      <c r="N51" s="30"/>
      <c r="O51" s="30"/>
      <c r="P51" s="30"/>
    </row>
    <row r="52" customFormat="false" ht="47.65" hidden="false" customHeight="false" outlineLevel="0" collapsed="false">
      <c r="A52" s="24" t="s">
        <v>57</v>
      </c>
      <c r="B52" s="24" t="s">
        <v>58</v>
      </c>
      <c r="C52" s="31" t="s">
        <v>59</v>
      </c>
      <c r="D52" s="31" t="s">
        <v>60</v>
      </c>
      <c r="E52" s="31" t="s">
        <v>61</v>
      </c>
      <c r="F52" s="31" t="s">
        <v>62</v>
      </c>
      <c r="G52" s="47" t="s">
        <v>63</v>
      </c>
      <c r="H52" s="31" t="s">
        <v>64</v>
      </c>
      <c r="I52" s="31" t="s">
        <v>65</v>
      </c>
      <c r="J52" s="47" t="s">
        <v>66</v>
      </c>
      <c r="K52" s="31" t="s">
        <v>67</v>
      </c>
      <c r="L52" s="31" t="s">
        <v>68</v>
      </c>
      <c r="M52" s="47" t="s">
        <v>69</v>
      </c>
      <c r="N52" s="31" t="s">
        <v>70</v>
      </c>
      <c r="O52" s="31" t="s">
        <v>71</v>
      </c>
      <c r="P52" s="47" t="s">
        <v>72</v>
      </c>
    </row>
    <row r="53" customFormat="false" ht="13.8" hidden="false" customHeight="false" outlineLevel="0" collapsed="false">
      <c r="A53" s="44" t="s">
        <v>73</v>
      </c>
      <c r="B53" s="14" t="s">
        <v>74</v>
      </c>
      <c r="C53" s="44" t="s">
        <v>75</v>
      </c>
      <c r="D53" s="44" t="n">
        <v>0.92</v>
      </c>
      <c r="E53" s="44" t="n">
        <v>87419</v>
      </c>
      <c r="F53" s="44" t="s">
        <v>76</v>
      </c>
      <c r="G53" s="44" t="n">
        <f aca="false">ROUND((100*(87419-43001)/43001),2)</f>
        <v>103.3</v>
      </c>
      <c r="H53" s="44" t="s">
        <v>77</v>
      </c>
      <c r="I53" s="44" t="s">
        <v>77</v>
      </c>
      <c r="J53" s="44" t="s">
        <v>77</v>
      </c>
      <c r="K53" s="44" t="s">
        <v>77</v>
      </c>
      <c r="L53" s="44" t="s">
        <v>77</v>
      </c>
      <c r="M53" s="44" t="s">
        <v>77</v>
      </c>
      <c r="N53" s="44" t="s">
        <v>77</v>
      </c>
      <c r="O53" s="44" t="s">
        <v>77</v>
      </c>
      <c r="P53" s="44" t="s">
        <v>77</v>
      </c>
    </row>
    <row r="54" customFormat="false" ht="13.8" hidden="false" customHeight="false" outlineLevel="0" collapsed="false">
      <c r="A54" s="44"/>
      <c r="B54" s="44"/>
      <c r="C54" s="44" t="s">
        <v>78</v>
      </c>
      <c r="D54" s="44"/>
      <c r="E54" s="44" t="s">
        <v>78</v>
      </c>
      <c r="F54" s="44" t="s">
        <v>78</v>
      </c>
      <c r="G54" s="44"/>
      <c r="H54" s="44"/>
      <c r="I54" s="44"/>
      <c r="J54" s="44"/>
      <c r="K54" s="44"/>
      <c r="L54" s="44"/>
      <c r="M54" s="44"/>
      <c r="N54" s="44"/>
      <c r="O54" s="44"/>
      <c r="P54" s="44"/>
    </row>
    <row r="55" customFormat="false" ht="13.8" hidden="false" customHeight="false" outlineLevel="0" collapsed="false">
      <c r="A55" s="44"/>
      <c r="B55" s="44"/>
      <c r="C55" s="44" t="s">
        <v>78</v>
      </c>
      <c r="D55" s="44"/>
      <c r="E55" s="44" t="s">
        <v>78</v>
      </c>
      <c r="F55" s="44" t="s">
        <v>78</v>
      </c>
      <c r="G55" s="44"/>
      <c r="H55" s="44"/>
      <c r="I55" s="44"/>
      <c r="J55" s="44"/>
      <c r="K55" s="44"/>
      <c r="L55" s="44"/>
      <c r="M55" s="44"/>
      <c r="N55" s="44"/>
      <c r="O55" s="44"/>
      <c r="P55" s="44"/>
    </row>
    <row r="56" customFormat="false" ht="13.8" hidden="false" customHeight="false" outlineLevel="0" collapsed="false">
      <c r="A56" s="41" t="s">
        <v>79</v>
      </c>
      <c r="B56" s="41"/>
      <c r="C56" s="41"/>
      <c r="D56" s="40"/>
      <c r="E56" s="40"/>
      <c r="F56" s="40"/>
      <c r="G56" s="40"/>
      <c r="H56" s="40"/>
      <c r="I56" s="40"/>
      <c r="J56" s="40"/>
      <c r="K56" s="40"/>
      <c r="L56" s="40"/>
      <c r="M56" s="40"/>
      <c r="N56" s="40"/>
      <c r="O56" s="40"/>
      <c r="P56" s="40"/>
      <c r="Q56" s="40"/>
    </row>
    <row r="57" customFormat="false" ht="13.8" hidden="false" customHeight="false" outlineLevel="0" collapsed="false">
      <c r="A57" s="41" t="s">
        <v>80</v>
      </c>
      <c r="B57" s="41"/>
      <c r="C57" s="41"/>
      <c r="D57" s="40"/>
      <c r="E57" s="40"/>
      <c r="F57" s="40"/>
      <c r="G57" s="40"/>
      <c r="H57" s="40"/>
      <c r="I57" s="40"/>
      <c r="J57" s="40"/>
      <c r="K57" s="40"/>
      <c r="L57" s="40"/>
      <c r="M57" s="40"/>
      <c r="N57" s="40"/>
      <c r="O57" s="40"/>
      <c r="P57" s="40"/>
      <c r="Q57" s="40"/>
    </row>
    <row r="58" customFormat="false" ht="13.8" hidden="false" customHeight="false" outlineLevel="0" collapsed="false">
      <c r="A58" s="41" t="s">
        <v>81</v>
      </c>
      <c r="B58" s="41"/>
      <c r="C58" s="41"/>
      <c r="D58" s="40"/>
      <c r="E58" s="40"/>
      <c r="F58" s="40"/>
      <c r="G58" s="40"/>
      <c r="H58" s="40"/>
      <c r="I58" s="40"/>
      <c r="J58" s="40"/>
      <c r="K58" s="40"/>
      <c r="L58" s="40"/>
      <c r="M58" s="40"/>
      <c r="N58" s="40"/>
      <c r="O58" s="40"/>
      <c r="P58" s="40"/>
      <c r="Q58" s="40"/>
    </row>
    <row r="59" customFormat="false" ht="13.8" hidden="false" customHeight="false" outlineLevel="0" collapsed="false">
      <c r="A59" s="41" t="s">
        <v>82</v>
      </c>
      <c r="B59" s="41"/>
      <c r="C59" s="41"/>
      <c r="D59" s="40"/>
      <c r="E59" s="40"/>
      <c r="F59" s="40"/>
      <c r="G59" s="40"/>
      <c r="H59" s="40"/>
      <c r="I59" s="40"/>
      <c r="J59" s="40"/>
      <c r="K59" s="40"/>
      <c r="L59" s="40"/>
      <c r="M59" s="40"/>
      <c r="N59" s="40"/>
      <c r="O59" s="40"/>
      <c r="P59" s="40"/>
      <c r="Q59" s="40"/>
    </row>
    <row r="60" s="49" customFormat="true" ht="13.8" hidden="false" customHeight="false" outlineLevel="0" collapsed="false">
      <c r="A60" s="48" t="s">
        <v>83</v>
      </c>
    </row>
    <row r="62" customFormat="false" ht="13.8" hidden="false" customHeight="false" outlineLevel="0" collapsed="false">
      <c r="A62" s="50" t="s">
        <v>84</v>
      </c>
      <c r="B62" s="51"/>
      <c r="C62" s="52"/>
    </row>
    <row r="63" s="55" customFormat="true" ht="129.05" hidden="false" customHeight="false" outlineLevel="0" collapsed="false">
      <c r="A63" s="53" t="s">
        <v>85</v>
      </c>
      <c r="B63" s="53" t="s">
        <v>86</v>
      </c>
      <c r="C63" s="54"/>
    </row>
    <row r="64" s="55" customFormat="true" ht="117.4" hidden="false" customHeight="false" outlineLevel="0" collapsed="false">
      <c r="A64" s="53" t="s">
        <v>87</v>
      </c>
      <c r="B64" s="53" t="s">
        <v>88</v>
      </c>
      <c r="C64" s="54"/>
    </row>
  </sheetData>
  <mergeCells count="10">
    <mergeCell ref="B18:O18"/>
    <mergeCell ref="B19:C19"/>
    <mergeCell ref="D19:E19"/>
    <mergeCell ref="F19:G19"/>
    <mergeCell ref="H19:I19"/>
    <mergeCell ref="J19:K19"/>
    <mergeCell ref="L19:M19"/>
    <mergeCell ref="N19:O19"/>
    <mergeCell ref="C51:G51"/>
    <mergeCell ref="H51:P51"/>
  </mergeCell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1048576"/>
  <sheetViews>
    <sheetView showFormulas="false" showGridLines="true" showRowColHeaders="true" showZeros="true" rightToLeft="false" tabSelected="false" showOutlineSymbols="true" defaultGridColor="true" view="normal" topLeftCell="A43" colorId="64" zoomScale="100" zoomScaleNormal="100" zoomScalePageLayoutView="100" workbookViewId="0">
      <selection pane="topLeft" activeCell="A1" activeCellId="0" sqref="A1"/>
    </sheetView>
  </sheetViews>
  <sheetFormatPr defaultColWidth="8.8515625" defaultRowHeight="13.8" zeroHeight="false" outlineLevelRow="0" outlineLevelCol="0"/>
  <cols>
    <col collapsed="false" customWidth="true" hidden="false" outlineLevel="0" max="1" min="1" style="1" width="24.47"/>
    <col collapsed="false" customWidth="true" hidden="false" outlineLevel="0" max="2" min="2" style="1" width="18.28"/>
    <col collapsed="false" customWidth="true" hidden="false" outlineLevel="0" max="3" min="3" style="1" width="17.71"/>
    <col collapsed="false" customWidth="true" hidden="false" outlineLevel="0" max="4" min="4" style="1" width="21.43"/>
    <col collapsed="false" customWidth="true" hidden="false" outlineLevel="0" max="5" min="5" style="1" width="14.28"/>
    <col collapsed="false" customWidth="true" hidden="false" outlineLevel="0" max="6" min="6" style="1" width="14.57"/>
    <col collapsed="false" customWidth="true" hidden="false" outlineLevel="0" max="7" min="7" style="1" width="22.57"/>
    <col collapsed="false" customWidth="true" hidden="false" outlineLevel="0" max="8" min="8" style="1" width="15.57"/>
    <col collapsed="false" customWidth="true" hidden="false" outlineLevel="0" max="9" min="9" style="1" width="17.85"/>
    <col collapsed="false" customWidth="true" hidden="false" outlineLevel="0" max="10" min="10" style="1" width="14.43"/>
    <col collapsed="false" customWidth="true" hidden="false" outlineLevel="0" max="11" min="11" style="1" width="15.57"/>
    <col collapsed="false" customWidth="true" hidden="false" outlineLevel="0" max="13" min="12" style="1" width="15.28"/>
    <col collapsed="false" customWidth="true" hidden="false" outlineLevel="0" max="14" min="14" style="1" width="15.14"/>
    <col collapsed="false" customWidth="true" hidden="false" outlineLevel="0" max="15" min="15" style="1" width="14.85"/>
    <col collapsed="false" customWidth="true" hidden="false" outlineLevel="0" max="16" min="16" style="1" width="15.28"/>
    <col collapsed="false" customWidth="true" hidden="false" outlineLevel="0" max="17" min="17" style="1" width="15.14"/>
    <col collapsed="false" customWidth="true" hidden="false" outlineLevel="0" max="18" min="18" style="1" width="16.14"/>
    <col collapsed="false" customWidth="true" hidden="false" outlineLevel="0" max="19" min="19" style="1" width="17.71"/>
    <col collapsed="false" customWidth="false" hidden="false" outlineLevel="0" max="1022" min="20" style="1" width="8.85"/>
    <col collapsed="false" customWidth="true" hidden="false" outlineLevel="0" max="1024" min="1023" style="0" width="11.57"/>
  </cols>
  <sheetData>
    <row r="1" customFormat="false" ht="15" hidden="false" customHeight="false" outlineLevel="0" collapsed="false">
      <c r="A1" s="56" t="s">
        <v>89</v>
      </c>
      <c r="B1" s="56"/>
      <c r="C1" s="56"/>
      <c r="D1" s="57"/>
      <c r="E1" s="57"/>
      <c r="F1" s="57"/>
      <c r="G1" s="57"/>
      <c r="H1" s="57"/>
      <c r="I1" s="57"/>
      <c r="J1" s="57"/>
      <c r="K1" s="57"/>
      <c r="L1" s="57"/>
      <c r="M1" s="57"/>
    </row>
    <row r="2" customFormat="false" ht="15" hidden="false" customHeight="false" outlineLevel="0" collapsed="false">
      <c r="A2" s="16" t="s">
        <v>90</v>
      </c>
      <c r="B2" s="56"/>
      <c r="C2" s="56"/>
      <c r="D2" s="57"/>
      <c r="E2" s="57"/>
      <c r="F2" s="57"/>
      <c r="G2" s="57"/>
      <c r="H2" s="57"/>
      <c r="I2" s="57"/>
      <c r="J2" s="57"/>
      <c r="K2" s="57"/>
      <c r="L2" s="57"/>
      <c r="M2" s="57"/>
    </row>
    <row r="3" customFormat="false" ht="15" hidden="false" customHeight="false" outlineLevel="0" collapsed="false">
      <c r="A3" s="16" t="s">
        <v>7</v>
      </c>
      <c r="B3" s="56"/>
      <c r="C3" s="56"/>
      <c r="D3" s="57"/>
      <c r="E3" s="57"/>
      <c r="F3" s="57"/>
      <c r="G3" s="57"/>
      <c r="H3" s="57"/>
      <c r="I3" s="57"/>
      <c r="J3" s="57"/>
      <c r="K3" s="57"/>
      <c r="L3" s="57"/>
      <c r="M3" s="57"/>
    </row>
    <row r="4" s="18" customFormat="true" ht="13.8" hidden="false" customHeight="false" outlineLevel="0" collapsed="false">
      <c r="A4" s="17" t="s">
        <v>91</v>
      </c>
    </row>
    <row r="5" customFormat="false" ht="60" hidden="false" customHeight="true" outlineLevel="0" collapsed="false">
      <c r="A5" s="19" t="s">
        <v>9</v>
      </c>
      <c r="B5" s="19" t="s">
        <v>10</v>
      </c>
      <c r="C5" s="58" t="s">
        <v>92</v>
      </c>
      <c r="D5" s="58" t="s">
        <v>93</v>
      </c>
      <c r="F5" s="59"/>
      <c r="G5" s="59"/>
      <c r="H5" s="59"/>
      <c r="I5" s="59"/>
      <c r="J5" s="59"/>
      <c r="K5" s="59"/>
      <c r="L5" s="59"/>
      <c r="M5" s="59"/>
    </row>
    <row r="6" customFormat="false" ht="26.45" hidden="false" customHeight="true" outlineLevel="0" collapsed="false">
      <c r="A6" s="60" t="n">
        <v>44378</v>
      </c>
      <c r="B6" s="61" t="s">
        <v>12</v>
      </c>
      <c r="C6" s="62" t="n">
        <v>536</v>
      </c>
      <c r="D6" s="62" t="n">
        <v>0</v>
      </c>
      <c r="F6" s="59"/>
      <c r="G6" s="59"/>
      <c r="H6" s="59"/>
      <c r="I6" s="59"/>
      <c r="J6" s="59"/>
      <c r="K6" s="59"/>
      <c r="L6" s="59"/>
      <c r="M6" s="59"/>
    </row>
    <row r="7" customFormat="false" ht="13.8" hidden="false" customHeight="false" outlineLevel="0" collapsed="false">
      <c r="A7" s="59"/>
      <c r="B7" s="59"/>
      <c r="C7" s="59"/>
      <c r="D7" s="59"/>
      <c r="E7" s="59"/>
      <c r="F7" s="59"/>
      <c r="G7" s="59"/>
    </row>
    <row r="8" customFormat="false" ht="59.3" hidden="false" customHeight="false" outlineLevel="0" collapsed="false">
      <c r="A8" s="24" t="s">
        <v>14</v>
      </c>
      <c r="B8" s="30" t="s">
        <v>94</v>
      </c>
      <c r="C8" s="30" t="s">
        <v>95</v>
      </c>
      <c r="D8" s="30" t="s">
        <v>96</v>
      </c>
      <c r="E8" s="63" t="s">
        <v>97</v>
      </c>
      <c r="F8" s="63" t="s">
        <v>98</v>
      </c>
      <c r="G8" s="25" t="s">
        <v>99</v>
      </c>
      <c r="H8" s="25" t="s">
        <v>100</v>
      </c>
    </row>
    <row r="9" customFormat="false" ht="47.65" hidden="false" customHeight="false" outlineLevel="0" collapsed="false">
      <c r="A9" s="64" t="s">
        <v>33</v>
      </c>
      <c r="B9" s="64" t="s">
        <v>101</v>
      </c>
      <c r="C9" s="64" t="s">
        <v>102</v>
      </c>
      <c r="D9" s="64" t="s">
        <v>103</v>
      </c>
      <c r="E9" s="65" t="n">
        <v>84</v>
      </c>
      <c r="F9" s="65" t="n">
        <v>38</v>
      </c>
      <c r="G9" s="66" t="n">
        <f aca="false">(E9-F9)/F9*100</f>
        <v>121.052631578947</v>
      </c>
      <c r="H9" s="65" t="n">
        <v>30.841</v>
      </c>
    </row>
    <row r="10" customFormat="false" ht="47.65" hidden="false" customHeight="false" outlineLevel="0" collapsed="false">
      <c r="A10" s="64" t="s">
        <v>34</v>
      </c>
      <c r="B10" s="64" t="s">
        <v>101</v>
      </c>
      <c r="C10" s="64" t="s">
        <v>102</v>
      </c>
      <c r="D10" s="64" t="s">
        <v>103</v>
      </c>
      <c r="E10" s="65" t="n">
        <v>88</v>
      </c>
      <c r="F10" s="65" t="n">
        <v>38</v>
      </c>
      <c r="G10" s="66" t="n">
        <f aca="false">(E10-F10)/F10*100</f>
        <v>131.578947368421</v>
      </c>
      <c r="H10" s="65" t="n">
        <v>54.659</v>
      </c>
    </row>
    <row r="11" customFormat="false" ht="47.65" hidden="false" customHeight="false" outlineLevel="0" collapsed="false">
      <c r="A11" s="64" t="s">
        <v>35</v>
      </c>
      <c r="B11" s="64" t="s">
        <v>101</v>
      </c>
      <c r="C11" s="64" t="s">
        <v>102</v>
      </c>
      <c r="D11" s="64" t="s">
        <v>103</v>
      </c>
      <c r="E11" s="65" t="n">
        <v>212</v>
      </c>
      <c r="F11" s="65" t="n">
        <v>122</v>
      </c>
      <c r="G11" s="66" t="n">
        <f aca="false">(E11-F11)/F11*100</f>
        <v>73.7704918032787</v>
      </c>
      <c r="H11" s="65" t="n">
        <v>88.775</v>
      </c>
    </row>
    <row r="12" customFormat="false" ht="47.65" hidden="false" customHeight="false" outlineLevel="0" collapsed="false">
      <c r="A12" s="64" t="s">
        <v>43</v>
      </c>
      <c r="B12" s="64" t="s">
        <v>101</v>
      </c>
      <c r="C12" s="64" t="s">
        <v>102</v>
      </c>
      <c r="D12" s="64" t="s">
        <v>103</v>
      </c>
      <c r="E12" s="65" t="n">
        <v>84</v>
      </c>
      <c r="F12" s="65" t="n">
        <v>34</v>
      </c>
      <c r="G12" s="66" t="n">
        <f aca="false">(E12-F12)/F12*100</f>
        <v>147.058823529412</v>
      </c>
      <c r="H12" s="65" t="n">
        <v>45.102</v>
      </c>
    </row>
    <row r="13" customFormat="false" ht="47.65" hidden="false" customHeight="false" outlineLevel="0" collapsed="false">
      <c r="A13" s="64" t="s">
        <v>31</v>
      </c>
      <c r="B13" s="64" t="s">
        <v>101</v>
      </c>
      <c r="C13" s="64" t="s">
        <v>102</v>
      </c>
      <c r="D13" s="64" t="s">
        <v>103</v>
      </c>
      <c r="E13" s="65" t="n">
        <v>16</v>
      </c>
      <c r="F13" s="65" t="n">
        <v>10</v>
      </c>
      <c r="G13" s="66" t="n">
        <f aca="false">(E13-F13)/F13*100</f>
        <v>60</v>
      </c>
      <c r="H13" s="65" t="n">
        <v>4.198</v>
      </c>
    </row>
    <row r="14" customFormat="false" ht="36" hidden="false" customHeight="false" outlineLevel="0" collapsed="false">
      <c r="A14" s="64" t="s">
        <v>104</v>
      </c>
      <c r="B14" s="64" t="s">
        <v>105</v>
      </c>
      <c r="C14" s="64" t="s">
        <v>102</v>
      </c>
      <c r="D14" s="64" t="s">
        <v>103</v>
      </c>
      <c r="E14" s="65" t="n">
        <v>24</v>
      </c>
      <c r="F14" s="65" t="n">
        <v>23</v>
      </c>
      <c r="G14" s="66" t="n">
        <f aca="false">(E14-F14)/F14*100</f>
        <v>4.34782608695652</v>
      </c>
      <c r="H14" s="65" t="n">
        <v>0.11</v>
      </c>
    </row>
    <row r="15" customFormat="false" ht="36" hidden="false" customHeight="false" outlineLevel="0" collapsed="false">
      <c r="A15" s="64" t="s">
        <v>32</v>
      </c>
      <c r="B15" s="64" t="s">
        <v>106</v>
      </c>
      <c r="C15" s="64" t="s">
        <v>107</v>
      </c>
      <c r="D15" s="64" t="s">
        <v>103</v>
      </c>
      <c r="E15" s="65" t="n">
        <v>18</v>
      </c>
      <c r="F15" s="65" t="n">
        <v>12</v>
      </c>
      <c r="G15" s="66" t="n">
        <f aca="false">(E15-F15)/F15*100</f>
        <v>50</v>
      </c>
      <c r="H15" s="65" t="n">
        <v>0.269</v>
      </c>
    </row>
    <row r="16" customFormat="false" ht="36" hidden="false" customHeight="false" outlineLevel="0" collapsed="false">
      <c r="A16" s="64" t="s">
        <v>37</v>
      </c>
      <c r="B16" s="64" t="s">
        <v>106</v>
      </c>
      <c r="C16" s="64" t="s">
        <v>107</v>
      </c>
      <c r="D16" s="64" t="s">
        <v>103</v>
      </c>
      <c r="E16" s="65" t="n">
        <v>38</v>
      </c>
      <c r="F16" s="65" t="n">
        <v>32</v>
      </c>
      <c r="G16" s="66" t="n">
        <f aca="false">(E16-F16)/F16*100</f>
        <v>18.75</v>
      </c>
      <c r="H16" s="65" t="n">
        <v>0.293</v>
      </c>
    </row>
    <row r="17" customFormat="false" ht="36" hidden="false" customHeight="false" outlineLevel="0" collapsed="false">
      <c r="A17" s="64" t="s">
        <v>36</v>
      </c>
      <c r="B17" s="64" t="s">
        <v>106</v>
      </c>
      <c r="C17" s="64" t="s">
        <v>107</v>
      </c>
      <c r="D17" s="64" t="s">
        <v>103</v>
      </c>
      <c r="E17" s="65" t="n">
        <v>30</v>
      </c>
      <c r="F17" s="65" t="n">
        <v>24</v>
      </c>
      <c r="G17" s="66" t="n">
        <f aca="false">(E17-F17)/F17*100</f>
        <v>25</v>
      </c>
      <c r="H17" s="65" t="n">
        <v>0.295</v>
      </c>
    </row>
    <row r="18" customFormat="false" ht="36" hidden="false" customHeight="false" outlineLevel="0" collapsed="false">
      <c r="A18" s="64" t="s">
        <v>108</v>
      </c>
      <c r="B18" s="64" t="s">
        <v>106</v>
      </c>
      <c r="C18" s="64" t="s">
        <v>107</v>
      </c>
      <c r="D18" s="64" t="s">
        <v>103</v>
      </c>
      <c r="E18" s="65" t="n">
        <v>12</v>
      </c>
      <c r="F18" s="65" t="n">
        <v>6</v>
      </c>
      <c r="G18" s="66" t="n">
        <f aca="false">(E18-F18)/F18*100</f>
        <v>100</v>
      </c>
      <c r="H18" s="65" t="n">
        <v>0.289</v>
      </c>
    </row>
    <row r="19" customFormat="false" ht="36" hidden="false" customHeight="false" outlineLevel="0" collapsed="false">
      <c r="A19" s="64" t="s">
        <v>40</v>
      </c>
      <c r="B19" s="64" t="s">
        <v>106</v>
      </c>
      <c r="C19" s="64" t="s">
        <v>107</v>
      </c>
      <c r="D19" s="64" t="s">
        <v>103</v>
      </c>
      <c r="E19" s="65" t="n">
        <v>26</v>
      </c>
      <c r="F19" s="65" t="n">
        <v>20</v>
      </c>
      <c r="G19" s="66" t="n">
        <f aca="false">(E19-F19)/F19*100</f>
        <v>30</v>
      </c>
      <c r="H19" s="65" t="n">
        <v>0.292</v>
      </c>
    </row>
    <row r="20" customFormat="false" ht="36" hidden="false" customHeight="false" outlineLevel="0" collapsed="false">
      <c r="A20" s="64" t="s">
        <v>42</v>
      </c>
      <c r="B20" s="64" t="s">
        <v>106</v>
      </c>
      <c r="C20" s="64" t="s">
        <v>102</v>
      </c>
      <c r="D20" s="64" t="s">
        <v>103</v>
      </c>
      <c r="E20" s="65" t="n">
        <v>6</v>
      </c>
      <c r="F20" s="65" t="n">
        <v>0</v>
      </c>
      <c r="G20" s="66" t="s">
        <v>109</v>
      </c>
      <c r="H20" s="65" t="n">
        <v>0.07</v>
      </c>
    </row>
    <row r="21" customFormat="false" ht="34.3" hidden="false" customHeight="false" outlineLevel="0" collapsed="false">
      <c r="A21" s="67" t="s">
        <v>110</v>
      </c>
    </row>
    <row r="22" customFormat="false" ht="23.25" hidden="false" customHeight="false" outlineLevel="0" collapsed="false">
      <c r="A22" s="67" t="s">
        <v>111</v>
      </c>
    </row>
    <row r="23" customFormat="false" ht="13.8" hidden="false" customHeight="false" outlineLevel="0" collapsed="false">
      <c r="A23" s="67"/>
    </row>
    <row r="24" customFormat="false" ht="13.8" hidden="false" customHeight="false" outlineLevel="0" collapsed="false">
      <c r="A24" s="68"/>
    </row>
    <row r="26" customFormat="false" ht="17.45" hidden="false" customHeight="true" outlineLevel="0" collapsed="false">
      <c r="B26" s="29" t="s">
        <v>20</v>
      </c>
      <c r="C26" s="29"/>
      <c r="D26" s="29"/>
      <c r="E26" s="29"/>
      <c r="F26" s="29"/>
      <c r="G26" s="29"/>
      <c r="H26" s="29"/>
      <c r="I26" s="29"/>
      <c r="J26" s="29"/>
      <c r="K26" s="29"/>
      <c r="L26" s="29"/>
      <c r="M26" s="29"/>
      <c r="N26" s="29"/>
      <c r="O26" s="29"/>
      <c r="P26" s="29"/>
      <c r="Q26" s="29"/>
    </row>
    <row r="27" customFormat="false" ht="15" hidden="false" customHeight="true" outlineLevel="0" collapsed="false">
      <c r="B27" s="30" t="s">
        <v>21</v>
      </c>
      <c r="C27" s="30"/>
      <c r="D27" s="30" t="s">
        <v>22</v>
      </c>
      <c r="E27" s="30"/>
      <c r="F27" s="30" t="s">
        <v>23</v>
      </c>
      <c r="G27" s="30"/>
      <c r="H27" s="30" t="s">
        <v>24</v>
      </c>
      <c r="I27" s="30"/>
      <c r="J27" s="30" t="s">
        <v>25</v>
      </c>
      <c r="K27" s="30"/>
      <c r="L27" s="30" t="s">
        <v>26</v>
      </c>
      <c r="M27" s="30"/>
      <c r="N27" s="30" t="s">
        <v>112</v>
      </c>
      <c r="O27" s="30"/>
      <c r="P27" s="30" t="s">
        <v>113</v>
      </c>
      <c r="Q27" s="30"/>
    </row>
    <row r="28" customFormat="false" ht="36" hidden="false" customHeight="false" outlineLevel="0" collapsed="false">
      <c r="A28" s="24" t="s">
        <v>14</v>
      </c>
      <c r="B28" s="31" t="s">
        <v>114</v>
      </c>
      <c r="C28" s="31" t="s">
        <v>115</v>
      </c>
      <c r="D28" s="31" t="s">
        <v>114</v>
      </c>
      <c r="E28" s="31" t="s">
        <v>115</v>
      </c>
      <c r="F28" s="31" t="s">
        <v>114</v>
      </c>
      <c r="G28" s="31" t="s">
        <v>115</v>
      </c>
      <c r="H28" s="31" t="s">
        <v>114</v>
      </c>
      <c r="I28" s="31" t="s">
        <v>115</v>
      </c>
      <c r="J28" s="31" t="s">
        <v>114</v>
      </c>
      <c r="K28" s="31" t="s">
        <v>115</v>
      </c>
      <c r="L28" s="31" t="s">
        <v>114</v>
      </c>
      <c r="M28" s="31" t="s">
        <v>115</v>
      </c>
      <c r="N28" s="31" t="s">
        <v>114</v>
      </c>
      <c r="O28" s="31" t="s">
        <v>115</v>
      </c>
      <c r="P28" s="31" t="s">
        <v>29</v>
      </c>
      <c r="Q28" s="31" t="s">
        <v>30</v>
      </c>
    </row>
    <row r="29" customFormat="false" ht="13.8" hidden="false" customHeight="false" outlineLevel="0" collapsed="false">
      <c r="A29" s="64" t="s">
        <v>31</v>
      </c>
      <c r="B29" s="44" t="n">
        <v>2</v>
      </c>
      <c r="C29" s="44" t="n">
        <v>1</v>
      </c>
      <c r="D29" s="44" t="n">
        <v>2</v>
      </c>
      <c r="E29" s="44" t="n">
        <v>1</v>
      </c>
      <c r="F29" s="44" t="n">
        <v>2</v>
      </c>
      <c r="G29" s="44" t="n">
        <v>1</v>
      </c>
      <c r="H29" s="44" t="n">
        <v>2</v>
      </c>
      <c r="I29" s="44" t="n">
        <v>1</v>
      </c>
      <c r="J29" s="44" t="n">
        <v>6</v>
      </c>
      <c r="K29" s="44" t="n">
        <v>1</v>
      </c>
      <c r="L29" s="44" t="n">
        <v>2</v>
      </c>
      <c r="M29" s="44" t="n">
        <v>1</v>
      </c>
      <c r="N29" s="44"/>
      <c r="O29" s="44"/>
      <c r="P29" s="44"/>
      <c r="Q29" s="44"/>
    </row>
    <row r="30" customFormat="false" ht="13.8" hidden="false" customHeight="false" outlineLevel="0" collapsed="false">
      <c r="A30" s="64" t="s">
        <v>32</v>
      </c>
      <c r="B30" s="44" t="n">
        <v>8</v>
      </c>
      <c r="C30" s="44" t="n">
        <v>1</v>
      </c>
      <c r="D30" s="44" t="n">
        <v>2</v>
      </c>
      <c r="E30" s="44" t="n">
        <v>1</v>
      </c>
      <c r="F30" s="44" t="n">
        <v>8</v>
      </c>
      <c r="G30" s="44" t="n">
        <v>1</v>
      </c>
      <c r="H30" s="44" t="n">
        <v>7</v>
      </c>
      <c r="I30" s="44" t="n">
        <v>1</v>
      </c>
      <c r="J30" s="44" t="n">
        <v>8</v>
      </c>
      <c r="K30" s="44" t="n">
        <v>1</v>
      </c>
      <c r="L30" s="44" t="n">
        <v>8</v>
      </c>
      <c r="M30" s="44" t="n">
        <v>1</v>
      </c>
      <c r="N30" s="44"/>
      <c r="O30" s="44"/>
      <c r="P30" s="44"/>
      <c r="Q30" s="44"/>
    </row>
    <row r="31" customFormat="false" ht="13.8" hidden="false" customHeight="false" outlineLevel="0" collapsed="false">
      <c r="A31" s="64" t="s">
        <v>33</v>
      </c>
      <c r="B31" s="44" t="n">
        <v>18</v>
      </c>
      <c r="C31" s="44" t="n">
        <v>13</v>
      </c>
      <c r="D31" s="44" t="n">
        <v>10</v>
      </c>
      <c r="E31" s="44" t="n">
        <v>5</v>
      </c>
      <c r="F31" s="44" t="n">
        <v>18</v>
      </c>
      <c r="G31" s="44" t="n">
        <v>10</v>
      </c>
      <c r="H31" s="44" t="n">
        <v>18</v>
      </c>
      <c r="I31" s="44" t="n">
        <v>10</v>
      </c>
      <c r="J31" s="44" t="n">
        <v>18</v>
      </c>
      <c r="K31" s="44" t="n">
        <v>10</v>
      </c>
      <c r="L31" s="44" t="n">
        <v>14</v>
      </c>
      <c r="M31" s="44" t="n">
        <v>9</v>
      </c>
      <c r="N31" s="44"/>
      <c r="O31" s="44"/>
      <c r="P31" s="44"/>
      <c r="Q31" s="44"/>
    </row>
    <row r="32" customFormat="false" ht="13.8" hidden="false" customHeight="false" outlineLevel="0" collapsed="false">
      <c r="A32" s="64" t="s">
        <v>34</v>
      </c>
      <c r="B32" s="44" t="n">
        <v>18</v>
      </c>
      <c r="C32" s="44" t="n">
        <v>13</v>
      </c>
      <c r="D32" s="44" t="n">
        <v>10</v>
      </c>
      <c r="E32" s="44" t="n">
        <v>9</v>
      </c>
      <c r="F32" s="44" t="n">
        <v>18</v>
      </c>
      <c r="G32" s="44" t="n">
        <v>10</v>
      </c>
      <c r="H32" s="44" t="n">
        <v>18</v>
      </c>
      <c r="I32" s="44" t="n">
        <v>10</v>
      </c>
      <c r="J32" s="44" t="n">
        <v>18</v>
      </c>
      <c r="K32" s="44" t="n">
        <v>10</v>
      </c>
      <c r="L32" s="44" t="n">
        <v>18</v>
      </c>
      <c r="M32" s="44" t="n">
        <v>9</v>
      </c>
      <c r="N32" s="44"/>
      <c r="O32" s="44"/>
      <c r="P32" s="44"/>
      <c r="Q32" s="44"/>
    </row>
    <row r="33" customFormat="false" ht="13.8" hidden="false" customHeight="false" outlineLevel="0" collapsed="false">
      <c r="A33" s="64" t="s">
        <v>35</v>
      </c>
      <c r="B33" s="44" t="n">
        <v>38</v>
      </c>
      <c r="C33" s="44" t="n">
        <v>25</v>
      </c>
      <c r="D33" s="44" t="n">
        <v>14</v>
      </c>
      <c r="E33" s="44" t="n">
        <v>10</v>
      </c>
      <c r="F33" s="44" t="n">
        <v>54</v>
      </c>
      <c r="G33" s="44" t="n">
        <v>25</v>
      </c>
      <c r="H33" s="44" t="n">
        <v>42</v>
      </c>
      <c r="I33" s="44" t="n">
        <v>25</v>
      </c>
      <c r="J33" s="44" t="n">
        <v>34</v>
      </c>
      <c r="K33" s="44" t="n">
        <v>25</v>
      </c>
      <c r="L33" s="44" t="n">
        <v>38</v>
      </c>
      <c r="M33" s="44" t="n">
        <v>25</v>
      </c>
      <c r="N33" s="44"/>
      <c r="O33" s="44"/>
      <c r="P33" s="44"/>
      <c r="Q33" s="44"/>
    </row>
    <row r="34" customFormat="false" ht="13.8" hidden="false" customHeight="false" outlineLevel="0" collapsed="false">
      <c r="A34" s="64" t="s">
        <v>36</v>
      </c>
      <c r="B34" s="44" t="n">
        <v>20</v>
      </c>
      <c r="C34" s="44" t="n">
        <v>1</v>
      </c>
      <c r="D34" s="44" t="n">
        <v>2</v>
      </c>
      <c r="E34" s="44" t="n">
        <v>1</v>
      </c>
      <c r="F34" s="44" t="n">
        <v>20</v>
      </c>
      <c r="G34" s="44" t="n">
        <v>1</v>
      </c>
      <c r="H34" s="44" t="n">
        <v>19</v>
      </c>
      <c r="I34" s="44" t="n">
        <v>1</v>
      </c>
      <c r="J34" s="44" t="n">
        <v>20</v>
      </c>
      <c r="K34" s="44" t="n">
        <v>1</v>
      </c>
      <c r="L34" s="44" t="n">
        <v>20</v>
      </c>
      <c r="M34" s="44" t="n">
        <v>1</v>
      </c>
      <c r="N34" s="44"/>
      <c r="O34" s="44"/>
      <c r="P34" s="44"/>
      <c r="Q34" s="44"/>
    </row>
    <row r="35" customFormat="false" ht="13.8" hidden="false" customHeight="false" outlineLevel="0" collapsed="false">
      <c r="A35" s="64" t="s">
        <v>37</v>
      </c>
      <c r="B35" s="44" t="n">
        <v>28</v>
      </c>
      <c r="C35" s="44" t="n">
        <v>1</v>
      </c>
      <c r="D35" s="44" t="n">
        <v>2</v>
      </c>
      <c r="E35" s="44" t="n">
        <v>1</v>
      </c>
      <c r="F35" s="44" t="n">
        <v>28</v>
      </c>
      <c r="G35" s="44" t="n">
        <v>1</v>
      </c>
      <c r="H35" s="44" t="n">
        <v>27</v>
      </c>
      <c r="I35" s="44" t="n">
        <v>1</v>
      </c>
      <c r="J35" s="44" t="n">
        <v>28</v>
      </c>
      <c r="K35" s="44" t="n">
        <v>1</v>
      </c>
      <c r="L35" s="44" t="n">
        <v>28</v>
      </c>
      <c r="M35" s="44" t="n">
        <v>1</v>
      </c>
      <c r="N35" s="44"/>
      <c r="O35" s="44"/>
      <c r="P35" s="44"/>
      <c r="Q35" s="44"/>
    </row>
    <row r="36" customFormat="false" ht="13.8" hidden="false" customHeight="false" outlineLevel="0" collapsed="false">
      <c r="A36" s="64" t="s">
        <v>104</v>
      </c>
      <c r="B36" s="44" t="n">
        <v>23</v>
      </c>
      <c r="C36" s="44" t="n">
        <v>1</v>
      </c>
      <c r="D36" s="44" t="n">
        <v>22</v>
      </c>
      <c r="E36" s="44" t="n">
        <v>1</v>
      </c>
      <c r="F36" s="44" t="n">
        <v>23</v>
      </c>
      <c r="G36" s="44" t="n">
        <v>1</v>
      </c>
      <c r="H36" s="44" t="n">
        <v>23</v>
      </c>
      <c r="I36" s="44" t="n">
        <v>1</v>
      </c>
      <c r="J36" s="44" t="n">
        <v>23</v>
      </c>
      <c r="K36" s="44" t="n">
        <v>1</v>
      </c>
      <c r="L36" s="44" t="n">
        <v>23</v>
      </c>
      <c r="M36" s="44" t="n">
        <v>1</v>
      </c>
      <c r="N36" s="44"/>
      <c r="O36" s="44"/>
      <c r="P36" s="44"/>
      <c r="Q36" s="44"/>
    </row>
    <row r="37" customFormat="false" ht="13.8" hidden="false" customHeight="false" outlineLevel="0" collapsed="false">
      <c r="A37" s="64" t="s">
        <v>40</v>
      </c>
      <c r="B37" s="44" t="n">
        <v>16</v>
      </c>
      <c r="C37" s="44" t="n">
        <v>1</v>
      </c>
      <c r="D37" s="44" t="n">
        <v>2</v>
      </c>
      <c r="E37" s="44" t="n">
        <v>1</v>
      </c>
      <c r="F37" s="44" t="n">
        <v>16</v>
      </c>
      <c r="G37" s="44" t="n">
        <v>1</v>
      </c>
      <c r="H37" s="44" t="n">
        <v>15</v>
      </c>
      <c r="I37" s="44" t="n">
        <v>1</v>
      </c>
      <c r="J37" s="44" t="n">
        <v>16</v>
      </c>
      <c r="K37" s="44" t="n">
        <v>1</v>
      </c>
      <c r="L37" s="44" t="n">
        <v>16</v>
      </c>
      <c r="M37" s="44" t="n">
        <v>1</v>
      </c>
      <c r="N37" s="44"/>
      <c r="O37" s="44"/>
      <c r="P37" s="44"/>
      <c r="Q37" s="44"/>
    </row>
    <row r="38" customFormat="false" ht="13.8" hidden="false" customHeight="false" outlineLevel="0" collapsed="false">
      <c r="A38" s="64" t="s">
        <v>108</v>
      </c>
      <c r="B38" s="44" t="n">
        <v>2</v>
      </c>
      <c r="C38" s="44" t="n">
        <v>1</v>
      </c>
      <c r="D38" s="44" t="n">
        <v>2</v>
      </c>
      <c r="E38" s="44" t="n">
        <v>1</v>
      </c>
      <c r="F38" s="44" t="n">
        <v>2</v>
      </c>
      <c r="G38" s="44" t="n">
        <v>1</v>
      </c>
      <c r="H38" s="44" t="n">
        <v>1</v>
      </c>
      <c r="I38" s="44" t="n">
        <v>1</v>
      </c>
      <c r="J38" s="44" t="n">
        <v>2</v>
      </c>
      <c r="K38" s="44" t="n">
        <v>1</v>
      </c>
      <c r="L38" s="44" t="n">
        <v>2</v>
      </c>
      <c r="M38" s="44" t="n">
        <v>1</v>
      </c>
      <c r="N38" s="44"/>
      <c r="O38" s="44"/>
      <c r="P38" s="44"/>
      <c r="Q38" s="44"/>
    </row>
    <row r="39" customFormat="false" ht="13.8" hidden="false" customHeight="false" outlineLevel="0" collapsed="false">
      <c r="A39" s="64" t="s">
        <v>42</v>
      </c>
      <c r="B39" s="44" t="n">
        <v>1</v>
      </c>
      <c r="C39" s="44" t="n">
        <v>1</v>
      </c>
      <c r="D39" s="44" t="n">
        <v>1</v>
      </c>
      <c r="E39" s="44" t="n">
        <v>1</v>
      </c>
      <c r="F39" s="44" t="n">
        <v>1</v>
      </c>
      <c r="G39" s="44" t="n">
        <v>1</v>
      </c>
      <c r="H39" s="44" t="n">
        <v>1</v>
      </c>
      <c r="I39" s="44" t="n">
        <v>1</v>
      </c>
      <c r="J39" s="44" t="n">
        <v>1</v>
      </c>
      <c r="K39" s="44" t="n">
        <v>1</v>
      </c>
      <c r="L39" s="44" t="n">
        <v>1</v>
      </c>
      <c r="M39" s="44" t="n">
        <v>1</v>
      </c>
      <c r="N39" s="44"/>
      <c r="O39" s="44"/>
      <c r="P39" s="44"/>
      <c r="Q39" s="44"/>
    </row>
    <row r="40" customFormat="false" ht="13.8" hidden="false" customHeight="false" outlineLevel="0" collapsed="false">
      <c r="A40" s="64" t="s">
        <v>43</v>
      </c>
      <c r="B40" s="44" t="n">
        <v>18</v>
      </c>
      <c r="C40" s="44" t="n">
        <v>10</v>
      </c>
      <c r="D40" s="44" t="n">
        <v>10</v>
      </c>
      <c r="E40" s="44" t="n">
        <v>9</v>
      </c>
      <c r="F40" s="44" t="n">
        <v>2</v>
      </c>
      <c r="G40" s="44" t="n">
        <v>10</v>
      </c>
      <c r="H40" s="44" t="n">
        <v>18</v>
      </c>
      <c r="I40" s="44" t="n">
        <v>10</v>
      </c>
      <c r="J40" s="44" t="n">
        <v>18</v>
      </c>
      <c r="K40" s="44" t="n">
        <v>10</v>
      </c>
      <c r="L40" s="44" t="n">
        <v>14</v>
      </c>
      <c r="M40" s="44" t="n">
        <v>9</v>
      </c>
      <c r="N40" s="44"/>
      <c r="O40" s="44"/>
      <c r="P40" s="44"/>
      <c r="Q40" s="44"/>
    </row>
    <row r="41" s="70" customFormat="true" ht="12.8" hidden="false" customHeight="false" outlineLevel="0" collapsed="false">
      <c r="A41" s="69" t="s">
        <v>116</v>
      </c>
    </row>
    <row r="42" customFormat="false" ht="13.8" hidden="false" customHeight="false" outlineLevel="0" collapsed="false">
      <c r="A42" s="71" t="s">
        <v>117</v>
      </c>
      <c r="B42" s="71"/>
      <c r="C42" s="71"/>
      <c r="D42" s="72"/>
      <c r="E42" s="72"/>
      <c r="F42" s="72"/>
      <c r="G42" s="72"/>
      <c r="H42" s="72"/>
      <c r="I42" s="72"/>
      <c r="J42" s="72"/>
      <c r="K42" s="72"/>
      <c r="L42" s="72"/>
      <c r="M42" s="72"/>
    </row>
    <row r="43" customFormat="false" ht="13.8" hidden="false" customHeight="false" outlineLevel="0" collapsed="false">
      <c r="A43" s="71" t="s">
        <v>46</v>
      </c>
      <c r="B43" s="71"/>
      <c r="C43" s="71"/>
      <c r="D43" s="72"/>
      <c r="E43" s="72"/>
      <c r="F43" s="72"/>
      <c r="G43" s="72"/>
      <c r="H43" s="72"/>
      <c r="I43" s="72"/>
      <c r="J43" s="72"/>
      <c r="K43" s="72"/>
      <c r="L43" s="72"/>
      <c r="M43" s="72"/>
    </row>
    <row r="44" customFormat="false" ht="13.8" hidden="false" customHeight="false" outlineLevel="0" collapsed="false">
      <c r="A44" s="41" t="s">
        <v>118</v>
      </c>
      <c r="B44" s="71"/>
      <c r="C44" s="71"/>
      <c r="D44" s="72"/>
      <c r="E44" s="72"/>
      <c r="F44" s="72"/>
      <c r="G44" s="72"/>
      <c r="H44" s="72"/>
      <c r="I44" s="72"/>
      <c r="J44" s="72"/>
      <c r="K44" s="72"/>
      <c r="L44" s="72"/>
      <c r="M44" s="72"/>
    </row>
    <row r="45" customFormat="false" ht="13.8" hidden="false" customHeight="false" outlineLevel="0" collapsed="false">
      <c r="A45" s="71" t="s">
        <v>119</v>
      </c>
    </row>
    <row r="46" customFormat="false" ht="13.8" hidden="false" customHeight="false" outlineLevel="0" collapsed="false">
      <c r="A46" s="41" t="s">
        <v>120</v>
      </c>
      <c r="B46" s="71"/>
      <c r="C46" s="71"/>
      <c r="D46" s="72"/>
      <c r="E46" s="72"/>
      <c r="F46" s="72"/>
      <c r="G46" s="72"/>
      <c r="H46" s="72"/>
      <c r="I46" s="72"/>
      <c r="J46" s="72"/>
      <c r="K46" s="72"/>
      <c r="L46" s="72"/>
      <c r="M46" s="72"/>
    </row>
    <row r="47" s="14" customFormat="true" ht="13.8" hidden="false" customHeight="false" outlineLevel="0" collapsed="false">
      <c r="A47" s="41" t="s">
        <v>51</v>
      </c>
      <c r="B47" s="40"/>
      <c r="C47" s="40"/>
      <c r="D47" s="40"/>
    </row>
    <row r="48" customFormat="false" ht="13.8" hidden="false" customHeight="false" outlineLevel="0" collapsed="false">
      <c r="A48" s="41" t="s">
        <v>52</v>
      </c>
      <c r="B48" s="71"/>
      <c r="C48" s="71"/>
      <c r="D48" s="72"/>
      <c r="E48" s="72"/>
      <c r="F48" s="72"/>
      <c r="G48" s="72"/>
      <c r="H48" s="72"/>
      <c r="I48" s="72"/>
      <c r="J48" s="72"/>
      <c r="K48" s="72"/>
      <c r="L48" s="72"/>
      <c r="M48" s="72"/>
    </row>
    <row r="49" customFormat="false" ht="13.8" hidden="false" customHeight="false" outlineLevel="0" collapsed="false">
      <c r="A49" s="41" t="s">
        <v>121</v>
      </c>
      <c r="B49" s="73"/>
      <c r="C49" s="73"/>
      <c r="D49" s="73"/>
      <c r="E49" s="73"/>
      <c r="F49" s="73"/>
      <c r="G49" s="73"/>
      <c r="H49" s="73"/>
      <c r="I49" s="73"/>
      <c r="J49" s="73"/>
      <c r="K49" s="73"/>
      <c r="L49" s="73"/>
      <c r="M49" s="73"/>
    </row>
    <row r="50" customFormat="false" ht="13.8" hidden="false" customHeight="false" outlineLevel="0" collapsed="false">
      <c r="A50" s="73"/>
      <c r="B50" s="73"/>
      <c r="C50" s="73"/>
      <c r="D50" s="73"/>
      <c r="E50" s="73"/>
      <c r="F50" s="73"/>
      <c r="G50" s="73"/>
      <c r="H50" s="73"/>
      <c r="I50" s="73"/>
      <c r="J50" s="73"/>
      <c r="K50" s="73"/>
      <c r="L50" s="73"/>
      <c r="M50" s="73"/>
    </row>
    <row r="51" customFormat="false" ht="13.8" hidden="false" customHeight="false" outlineLevel="0" collapsed="false">
      <c r="A51" s="73"/>
      <c r="B51" s="73"/>
      <c r="C51" s="73"/>
      <c r="D51" s="73"/>
      <c r="E51" s="73"/>
      <c r="F51" s="73"/>
      <c r="G51" s="73"/>
      <c r="H51" s="73"/>
      <c r="I51" s="73"/>
      <c r="J51" s="73"/>
      <c r="K51" s="73"/>
      <c r="L51" s="73"/>
      <c r="M51" s="73"/>
    </row>
    <row r="52" s="18" customFormat="true" ht="13.8" hidden="false" customHeight="false" outlineLevel="0" collapsed="false">
      <c r="A52" s="17" t="s">
        <v>122</v>
      </c>
    </row>
    <row r="53" customFormat="false" ht="15.6" hidden="false" customHeight="true" outlineLevel="0" collapsed="false">
      <c r="A53" s="43" t="s">
        <v>9</v>
      </c>
      <c r="B53" s="19" t="s">
        <v>10</v>
      </c>
      <c r="D53" s="72"/>
      <c r="E53" s="72"/>
      <c r="F53" s="72"/>
      <c r="G53" s="72"/>
      <c r="H53" s="72"/>
      <c r="I53" s="72"/>
      <c r="J53" s="72"/>
      <c r="K53" s="59"/>
      <c r="L53" s="59"/>
      <c r="M53" s="57"/>
    </row>
    <row r="54" customFormat="false" ht="15.6" hidden="false" customHeight="true" outlineLevel="0" collapsed="false">
      <c r="A54" s="60" t="n">
        <v>44378</v>
      </c>
      <c r="B54" s="61" t="s">
        <v>12</v>
      </c>
      <c r="D54" s="72"/>
      <c r="E54" s="72"/>
      <c r="F54" s="72"/>
      <c r="G54" s="72"/>
      <c r="H54" s="74"/>
      <c r="I54" s="75"/>
      <c r="J54" s="57"/>
      <c r="K54" s="57"/>
      <c r="M54" s="57"/>
    </row>
    <row r="55" customFormat="false" ht="15.2" hidden="false" customHeight="true" outlineLevel="0" collapsed="false">
      <c r="C55" s="0"/>
      <c r="E55" s="30" t="s">
        <v>123</v>
      </c>
      <c r="F55" s="30"/>
      <c r="G55" s="30"/>
      <c r="H55" s="30"/>
      <c r="I55" s="30"/>
      <c r="J55" s="30" t="s">
        <v>56</v>
      </c>
      <c r="K55" s="30"/>
      <c r="L55" s="30"/>
      <c r="M55" s="30"/>
      <c r="N55" s="30"/>
      <c r="O55" s="30"/>
      <c r="P55" s="30"/>
      <c r="Q55" s="30"/>
      <c r="R55" s="30"/>
    </row>
    <row r="56" customFormat="false" ht="47.65" hidden="false" customHeight="false" outlineLevel="0" collapsed="false">
      <c r="A56" s="24" t="s">
        <v>57</v>
      </c>
      <c r="B56" s="24" t="s">
        <v>58</v>
      </c>
      <c r="C56" s="24" t="s">
        <v>124</v>
      </c>
      <c r="D56" s="24" t="s">
        <v>125</v>
      </c>
      <c r="E56" s="31" t="s">
        <v>126</v>
      </c>
      <c r="F56" s="31" t="s">
        <v>60</v>
      </c>
      <c r="G56" s="31" t="s">
        <v>127</v>
      </c>
      <c r="H56" s="31" t="s">
        <v>128</v>
      </c>
      <c r="I56" s="47" t="s">
        <v>129</v>
      </c>
      <c r="J56" s="31" t="s">
        <v>64</v>
      </c>
      <c r="K56" s="31" t="s">
        <v>65</v>
      </c>
      <c r="L56" s="47" t="s">
        <v>130</v>
      </c>
      <c r="M56" s="31" t="s">
        <v>67</v>
      </c>
      <c r="N56" s="31" t="s">
        <v>68</v>
      </c>
      <c r="O56" s="47" t="s">
        <v>131</v>
      </c>
      <c r="P56" s="31" t="s">
        <v>70</v>
      </c>
      <c r="Q56" s="31" t="s">
        <v>71</v>
      </c>
      <c r="R56" s="47" t="s">
        <v>132</v>
      </c>
    </row>
    <row r="57" customFormat="false" ht="36" hidden="false" customHeight="false" outlineLevel="0" collapsed="false">
      <c r="A57" s="76" t="s">
        <v>133</v>
      </c>
      <c r="B57" s="76" t="s">
        <v>33</v>
      </c>
      <c r="C57" s="64" t="s">
        <v>134</v>
      </c>
      <c r="D57" s="64" t="s">
        <v>135</v>
      </c>
      <c r="E57" s="44" t="n">
        <v>84</v>
      </c>
      <c r="F57" s="77" t="n">
        <v>17.895</v>
      </c>
      <c r="G57" s="44" t="n">
        <v>131</v>
      </c>
      <c r="H57" s="44" t="n">
        <v>112</v>
      </c>
      <c r="I57" s="78" t="n">
        <f aca="false">+((G57-H57)/H57)</f>
        <v>0.169642857142857</v>
      </c>
      <c r="J57" s="44" t="n">
        <v>774</v>
      </c>
      <c r="K57" s="44" t="n">
        <v>261</v>
      </c>
      <c r="L57" s="78" t="n">
        <f aca="false">+((J57-K57)/K57)</f>
        <v>1.96551724137931</v>
      </c>
      <c r="M57" s="44" t="s">
        <v>109</v>
      </c>
      <c r="N57" s="44" t="s">
        <v>109</v>
      </c>
      <c r="O57" s="44" t="s">
        <v>109</v>
      </c>
      <c r="P57" s="44" t="s">
        <v>109</v>
      </c>
      <c r="Q57" s="44" t="s">
        <v>109</v>
      </c>
      <c r="R57" s="44" t="s">
        <v>109</v>
      </c>
    </row>
    <row r="58" customFormat="false" ht="36" hidden="false" customHeight="false" outlineLevel="0" collapsed="false">
      <c r="A58" s="76" t="s">
        <v>133</v>
      </c>
      <c r="B58" s="76" t="s">
        <v>136</v>
      </c>
      <c r="C58" s="64" t="s">
        <v>134</v>
      </c>
      <c r="D58" s="64" t="s">
        <v>135</v>
      </c>
      <c r="E58" s="44" t="n">
        <v>88</v>
      </c>
      <c r="F58" s="77" t="n">
        <v>20.97</v>
      </c>
      <c r="G58" s="44" t="n">
        <v>115</v>
      </c>
      <c r="H58" s="44" t="n">
        <v>89</v>
      </c>
      <c r="I58" s="78" t="n">
        <f aca="false">+((G58-H58)/H58)</f>
        <v>0.292134831460674</v>
      </c>
      <c r="J58" s="44" t="n">
        <v>360</v>
      </c>
      <c r="K58" s="44" t="n">
        <v>173</v>
      </c>
      <c r="L58" s="78" t="n">
        <f aca="false">+((J58-K58)/K58)</f>
        <v>1.08092485549133</v>
      </c>
      <c r="M58" s="44" t="s">
        <v>109</v>
      </c>
      <c r="N58" s="44" t="s">
        <v>109</v>
      </c>
      <c r="O58" s="44" t="s">
        <v>109</v>
      </c>
      <c r="P58" s="44" t="s">
        <v>109</v>
      </c>
      <c r="Q58" s="44" t="s">
        <v>109</v>
      </c>
      <c r="R58" s="44" t="s">
        <v>109</v>
      </c>
    </row>
    <row r="59" customFormat="false" ht="36" hidden="false" customHeight="false" outlineLevel="0" collapsed="false">
      <c r="A59" s="76" t="s">
        <v>133</v>
      </c>
      <c r="B59" s="76" t="s">
        <v>35</v>
      </c>
      <c r="C59" s="64" t="s">
        <v>134</v>
      </c>
      <c r="D59" s="64" t="s">
        <v>135</v>
      </c>
      <c r="E59" s="44" t="n">
        <v>212</v>
      </c>
      <c r="F59" s="77" t="n">
        <v>17.788</v>
      </c>
      <c r="G59" s="44" t="n">
        <v>167</v>
      </c>
      <c r="H59" s="44" t="n">
        <v>98</v>
      </c>
      <c r="I59" s="78" t="n">
        <f aca="false">+((G59-H59)/H59)</f>
        <v>0.704081632653061</v>
      </c>
      <c r="J59" s="44" t="n">
        <v>767</v>
      </c>
      <c r="K59" s="44" t="n">
        <v>399</v>
      </c>
      <c r="L59" s="78" t="n">
        <f aca="false">+((J59-K59)/K59)</f>
        <v>0.922305764411028</v>
      </c>
      <c r="M59" s="44" t="s">
        <v>109</v>
      </c>
      <c r="N59" s="44" t="s">
        <v>109</v>
      </c>
      <c r="O59" s="44" t="s">
        <v>109</v>
      </c>
      <c r="P59" s="44" t="s">
        <v>109</v>
      </c>
      <c r="Q59" s="44" t="s">
        <v>109</v>
      </c>
      <c r="R59" s="44" t="s">
        <v>109</v>
      </c>
    </row>
    <row r="60" customFormat="false" ht="36" hidden="false" customHeight="false" outlineLevel="0" collapsed="false">
      <c r="A60" s="76" t="s">
        <v>133</v>
      </c>
      <c r="B60" s="76" t="s">
        <v>43</v>
      </c>
      <c r="C60" s="64" t="s">
        <v>134</v>
      </c>
      <c r="D60" s="64" t="s">
        <v>135</v>
      </c>
      <c r="E60" s="44" t="n">
        <v>84</v>
      </c>
      <c r="F60" s="77" t="n">
        <v>27.714</v>
      </c>
      <c r="G60" s="44" t="n">
        <v>113</v>
      </c>
      <c r="H60" s="44" t="n">
        <v>85</v>
      </c>
      <c r="I60" s="78" t="n">
        <f aca="false">+((G60-H60)/H60)</f>
        <v>0.329411764705882</v>
      </c>
      <c r="J60" s="44" t="n">
        <v>201</v>
      </c>
      <c r="K60" s="44" t="n">
        <v>40</v>
      </c>
      <c r="L60" s="78" t="n">
        <f aca="false">+((J60-K60)/K60)</f>
        <v>4.025</v>
      </c>
      <c r="M60" s="44" t="s">
        <v>109</v>
      </c>
      <c r="N60" s="44" t="s">
        <v>109</v>
      </c>
      <c r="O60" s="44" t="s">
        <v>109</v>
      </c>
      <c r="P60" s="44" t="s">
        <v>109</v>
      </c>
      <c r="Q60" s="44" t="s">
        <v>109</v>
      </c>
      <c r="R60" s="44" t="s">
        <v>109</v>
      </c>
    </row>
    <row r="61" customFormat="false" ht="36" hidden="false" customHeight="false" outlineLevel="0" collapsed="false">
      <c r="A61" s="76" t="s">
        <v>133</v>
      </c>
      <c r="B61" s="76" t="s">
        <v>31</v>
      </c>
      <c r="C61" s="64" t="s">
        <v>134</v>
      </c>
      <c r="D61" s="64" t="s">
        <v>135</v>
      </c>
      <c r="E61" s="44" t="n">
        <v>17</v>
      </c>
      <c r="F61" s="77" t="n">
        <v>55.479</v>
      </c>
      <c r="G61" s="44" t="n">
        <v>99</v>
      </c>
      <c r="H61" s="44" t="n">
        <v>82</v>
      </c>
      <c r="I61" s="78" t="n">
        <f aca="false">+((G61-H61)/H61)</f>
        <v>0.207317073170732</v>
      </c>
      <c r="J61" s="44" t="s">
        <v>109</v>
      </c>
      <c r="K61" s="44" t="s">
        <v>109</v>
      </c>
      <c r="L61" s="44" t="s">
        <v>109</v>
      </c>
      <c r="M61" s="44" t="s">
        <v>109</v>
      </c>
      <c r="N61" s="44" t="s">
        <v>109</v>
      </c>
      <c r="O61" s="44" t="s">
        <v>109</v>
      </c>
      <c r="P61" s="44" t="s">
        <v>109</v>
      </c>
      <c r="Q61" s="44" t="s">
        <v>109</v>
      </c>
      <c r="R61" s="44" t="s">
        <v>109</v>
      </c>
    </row>
    <row r="62" customFormat="false" ht="70.9" hidden="false" customHeight="false" outlineLevel="0" collapsed="false">
      <c r="A62" s="76" t="s">
        <v>133</v>
      </c>
      <c r="B62" s="76" t="s">
        <v>137</v>
      </c>
      <c r="C62" s="64" t="s">
        <v>138</v>
      </c>
      <c r="D62" s="64" t="s">
        <v>135</v>
      </c>
      <c r="E62" s="44" t="n">
        <v>76</v>
      </c>
      <c r="F62" s="77" t="n">
        <v>24.292</v>
      </c>
      <c r="G62" s="44" t="n">
        <v>153</v>
      </c>
      <c r="H62" s="79" t="n">
        <v>43</v>
      </c>
      <c r="I62" s="78" t="n">
        <f aca="false">+((G62-H62)/H62)</f>
        <v>2.55813953488372</v>
      </c>
      <c r="J62" s="44" t="n">
        <v>526</v>
      </c>
      <c r="K62" s="44" t="n">
        <v>304</v>
      </c>
      <c r="L62" s="78" t="n">
        <f aca="false">+((J62-K62)/K62)</f>
        <v>0.730263157894737</v>
      </c>
      <c r="M62" s="44" t="s">
        <v>109</v>
      </c>
      <c r="N62" s="44" t="s">
        <v>109</v>
      </c>
      <c r="O62" s="44" t="s">
        <v>109</v>
      </c>
      <c r="P62" s="44" t="s">
        <v>109</v>
      </c>
      <c r="Q62" s="44" t="s">
        <v>109</v>
      </c>
      <c r="R62" s="44" t="s">
        <v>109</v>
      </c>
    </row>
    <row r="63" customFormat="false" ht="24.4" hidden="false" customHeight="false" outlineLevel="0" collapsed="false">
      <c r="A63" s="76" t="s">
        <v>139</v>
      </c>
      <c r="B63" s="76" t="s">
        <v>104</v>
      </c>
      <c r="C63" s="64" t="s">
        <v>140</v>
      </c>
      <c r="D63" s="64" t="s">
        <v>135</v>
      </c>
      <c r="E63" s="44" t="n">
        <v>18</v>
      </c>
      <c r="F63" s="80" t="n">
        <v>2.292</v>
      </c>
      <c r="G63" s="76" t="n">
        <v>41</v>
      </c>
      <c r="H63" s="76" t="n">
        <v>54</v>
      </c>
      <c r="I63" s="81" t="n">
        <f aca="false">+((G63-H63)/H63)</f>
        <v>-0.240740740740741</v>
      </c>
      <c r="J63" s="44" t="n">
        <v>961</v>
      </c>
      <c r="K63" s="44" t="n">
        <v>363</v>
      </c>
      <c r="L63" s="78" t="n">
        <f aca="false">+((J63-K63)/K63)</f>
        <v>1.64738292011019</v>
      </c>
      <c r="M63" s="44" t="s">
        <v>109</v>
      </c>
      <c r="N63" s="44" t="s">
        <v>109</v>
      </c>
      <c r="O63" s="44" t="s">
        <v>109</v>
      </c>
      <c r="P63" s="44" t="s">
        <v>109</v>
      </c>
      <c r="Q63" s="44" t="s">
        <v>109</v>
      </c>
      <c r="R63" s="44" t="s">
        <v>109</v>
      </c>
    </row>
    <row r="64" customFormat="false" ht="36" hidden="false" customHeight="false" outlineLevel="0" collapsed="false">
      <c r="A64" s="76" t="s">
        <v>139</v>
      </c>
      <c r="B64" s="76" t="s">
        <v>104</v>
      </c>
      <c r="C64" s="64" t="s">
        <v>141</v>
      </c>
      <c r="D64" s="64" t="s">
        <v>135</v>
      </c>
      <c r="E64" s="44" t="n">
        <v>6</v>
      </c>
      <c r="F64" s="80"/>
      <c r="G64" s="76"/>
      <c r="H64" s="76"/>
      <c r="I64" s="81"/>
      <c r="J64" s="44" t="n">
        <v>225</v>
      </c>
      <c r="K64" s="44" t="n">
        <v>185</v>
      </c>
      <c r="L64" s="78" t="n">
        <f aca="false">+((J64-K64)/K64)</f>
        <v>0.216216216216216</v>
      </c>
      <c r="M64" s="44" t="s">
        <v>109</v>
      </c>
      <c r="N64" s="44" t="s">
        <v>109</v>
      </c>
      <c r="O64" s="44" t="s">
        <v>109</v>
      </c>
      <c r="P64" s="44" t="s">
        <v>109</v>
      </c>
      <c r="Q64" s="44" t="s">
        <v>109</v>
      </c>
      <c r="R64" s="44" t="s">
        <v>109</v>
      </c>
    </row>
    <row r="65" customFormat="false" ht="13.8" hidden="false" customHeight="false" outlineLevel="0" collapsed="false">
      <c r="A65" s="41" t="s">
        <v>79</v>
      </c>
      <c r="B65" s="71"/>
      <c r="C65" s="72"/>
      <c r="D65" s="72"/>
      <c r="E65" s="72"/>
      <c r="F65" s="72"/>
      <c r="G65" s="72"/>
      <c r="H65" s="72"/>
      <c r="I65" s="72"/>
      <c r="J65" s="72"/>
      <c r="K65" s="72"/>
      <c r="M65" s="72"/>
    </row>
    <row r="66" customFormat="false" ht="13.8" hidden="false" customHeight="false" outlineLevel="0" collapsed="false">
      <c r="A66" s="41" t="s">
        <v>80</v>
      </c>
      <c r="B66" s="71"/>
      <c r="C66" s="72"/>
      <c r="D66" s="72"/>
      <c r="E66" s="72"/>
      <c r="F66" s="72"/>
      <c r="G66" s="72"/>
      <c r="H66" s="72"/>
      <c r="I66" s="72"/>
      <c r="J66" s="72"/>
      <c r="K66" s="72"/>
      <c r="M66" s="72"/>
    </row>
    <row r="67" customFormat="false" ht="13.8" hidden="false" customHeight="false" outlineLevel="0" collapsed="false">
      <c r="A67" s="41" t="s">
        <v>81</v>
      </c>
      <c r="B67" s="71"/>
      <c r="C67" s="72"/>
      <c r="D67" s="72"/>
      <c r="E67" s="72"/>
      <c r="F67" s="72"/>
      <c r="G67" s="72"/>
      <c r="H67" s="72"/>
      <c r="I67" s="72"/>
      <c r="J67" s="72"/>
      <c r="K67" s="72"/>
      <c r="L67" s="72"/>
      <c r="M67" s="72"/>
    </row>
    <row r="68" customFormat="false" ht="13.8" hidden="false" customHeight="false" outlineLevel="0" collapsed="false">
      <c r="A68" s="41" t="s">
        <v>82</v>
      </c>
      <c r="B68" s="71"/>
      <c r="C68" s="72"/>
      <c r="D68" s="72"/>
      <c r="E68" s="72"/>
      <c r="F68" s="72"/>
      <c r="G68" s="72"/>
      <c r="H68" s="72"/>
      <c r="I68" s="72"/>
      <c r="J68" s="72"/>
      <c r="K68" s="72"/>
      <c r="L68" s="72"/>
      <c r="M68" s="72"/>
    </row>
    <row r="69" customFormat="false" ht="13.8" hidden="false" customHeight="false" outlineLevel="0" collapsed="false">
      <c r="A69" s="48" t="s">
        <v>83</v>
      </c>
      <c r="B69" s="71"/>
      <c r="C69" s="72"/>
      <c r="D69" s="72"/>
      <c r="E69" s="72"/>
      <c r="F69" s="72"/>
      <c r="G69" s="72"/>
      <c r="H69" s="72"/>
      <c r="I69" s="72"/>
      <c r="J69" s="72"/>
      <c r="K69" s="72"/>
      <c r="L69" s="72"/>
      <c r="M69" s="72"/>
    </row>
    <row r="70" customFormat="false" ht="13.8" hidden="false" customHeight="false" outlineLevel="0" collapsed="false">
      <c r="A70" s="71"/>
      <c r="B70" s="71"/>
      <c r="C70" s="72"/>
      <c r="D70" s="72"/>
      <c r="E70" s="72"/>
      <c r="F70" s="72"/>
      <c r="G70" s="72"/>
      <c r="H70" s="72"/>
      <c r="I70" s="72"/>
      <c r="J70" s="72"/>
      <c r="K70" s="72"/>
      <c r="L70" s="72"/>
      <c r="M70" s="72"/>
    </row>
    <row r="71" customFormat="false" ht="13.8" hidden="false" customHeight="false" outlineLevel="0" collapsed="false">
      <c r="A71" s="50" t="s">
        <v>84</v>
      </c>
      <c r="B71" s="52"/>
      <c r="C71" s="82"/>
      <c r="D71" s="83"/>
      <c r="E71" s="83"/>
      <c r="F71" s="83"/>
      <c r="G71" s="83"/>
      <c r="H71" s="83"/>
      <c r="I71" s="83"/>
      <c r="J71" s="83"/>
      <c r="K71" s="83"/>
      <c r="L71" s="83"/>
      <c r="M71" s="83"/>
    </row>
    <row r="72" customFormat="false" ht="47.65" hidden="false" customHeight="false" outlineLevel="0" collapsed="false">
      <c r="A72" s="53" t="s">
        <v>142</v>
      </c>
      <c r="B72" s="53" t="s">
        <v>143</v>
      </c>
      <c r="C72" s="72"/>
      <c r="D72" s="72"/>
      <c r="E72" s="72"/>
      <c r="F72" s="72"/>
      <c r="G72" s="72"/>
      <c r="H72" s="72"/>
      <c r="I72" s="72"/>
      <c r="J72" s="72"/>
      <c r="K72" s="72"/>
      <c r="L72" s="72"/>
      <c r="M72" s="72"/>
    </row>
    <row r="73" customFormat="false" ht="198.8" hidden="false" customHeight="false" outlineLevel="0" collapsed="false">
      <c r="A73" s="53" t="s">
        <v>144</v>
      </c>
      <c r="B73" s="53" t="s">
        <v>145</v>
      </c>
      <c r="C73" s="72"/>
    </row>
    <row r="1048576" customFormat="false" ht="12.8" hidden="false" customHeight="false" outlineLevel="0" collapsed="false"/>
  </sheetData>
  <mergeCells count="15">
    <mergeCell ref="B26:Q26"/>
    <mergeCell ref="B27:C27"/>
    <mergeCell ref="D27:E27"/>
    <mergeCell ref="F27:G27"/>
    <mergeCell ref="H27:I27"/>
    <mergeCell ref="J27:K27"/>
    <mergeCell ref="L27:M27"/>
    <mergeCell ref="N27:O27"/>
    <mergeCell ref="P27:Q27"/>
    <mergeCell ref="E55:I55"/>
    <mergeCell ref="J55:R55"/>
    <mergeCell ref="F63:F64"/>
    <mergeCell ref="G63:G64"/>
    <mergeCell ref="H63:H64"/>
    <mergeCell ref="I63:I6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I82"/>
  <sheetViews>
    <sheetView showFormulas="false" showGridLines="true" showRowColHeaders="true" showZeros="true" rightToLeft="false" tabSelected="false" showOutlineSymbols="true" defaultGridColor="true" view="normal" topLeftCell="A34" colorId="64" zoomScale="100" zoomScaleNormal="100" zoomScalePageLayoutView="100" workbookViewId="0">
      <selection pane="topLeft" activeCell="A1" activeCellId="0" sqref="A1"/>
    </sheetView>
  </sheetViews>
  <sheetFormatPr defaultColWidth="9.14453125" defaultRowHeight="13.8" zeroHeight="false" outlineLevelRow="0" outlineLevelCol="0"/>
  <cols>
    <col collapsed="false" customWidth="true" hidden="false" outlineLevel="0" max="1" min="1" style="84" width="118.15"/>
    <col collapsed="false" customWidth="true" hidden="false" outlineLevel="0" max="2" min="2" style="84" width="27.9"/>
    <col collapsed="false" customWidth="true" hidden="false" outlineLevel="0" max="3" min="3" style="84" width="16.85"/>
    <col collapsed="false" customWidth="true" hidden="false" outlineLevel="0" max="5" min="4" style="84" width="16.14"/>
    <col collapsed="false" customWidth="true" hidden="false" outlineLevel="0" max="6" min="6" style="84" width="16.28"/>
    <col collapsed="false" customWidth="true" hidden="false" outlineLevel="0" max="7" min="7" style="84" width="22.57"/>
    <col collapsed="false" customWidth="true" hidden="false" outlineLevel="0" max="8" min="8" style="84" width="35.57"/>
    <col collapsed="false" customWidth="false" hidden="false" outlineLevel="0" max="1024" min="9" style="84" width="9.14"/>
  </cols>
  <sheetData>
    <row r="1" s="57" customFormat="true" ht="15" hidden="false" customHeight="false" outlineLevel="0" collapsed="false">
      <c r="A1" s="56" t="s">
        <v>146</v>
      </c>
      <c r="B1" s="56"/>
    </row>
    <row r="2" s="57" customFormat="true" ht="13.8" hidden="false" customHeight="false" outlineLevel="0" collapsed="false">
      <c r="A2" s="16" t="s">
        <v>147</v>
      </c>
    </row>
    <row r="3" s="57" customFormat="true" ht="15" hidden="false" customHeight="false" outlineLevel="0" collapsed="false">
      <c r="A3" s="16" t="s">
        <v>148</v>
      </c>
      <c r="B3" s="56"/>
    </row>
    <row r="4" customFormat="false" ht="13.8" hidden="false" customHeight="false" outlineLevel="0" collapsed="false">
      <c r="A4" s="19" t="s">
        <v>9</v>
      </c>
      <c r="B4" s="19" t="s">
        <v>10</v>
      </c>
      <c r="I4" s="85"/>
    </row>
    <row r="5" customFormat="false" ht="13.8" hidden="false" customHeight="false" outlineLevel="0" collapsed="false">
      <c r="A5" s="60" t="n">
        <v>44378</v>
      </c>
      <c r="B5" s="61" t="s">
        <v>12</v>
      </c>
      <c r="I5" s="85"/>
    </row>
    <row r="6" customFormat="false" ht="105.8" hidden="false" customHeight="false" outlineLevel="0" collapsed="false">
      <c r="A6" s="24" t="s">
        <v>149</v>
      </c>
      <c r="B6" s="31" t="s">
        <v>150</v>
      </c>
      <c r="C6" s="31" t="s">
        <v>151</v>
      </c>
      <c r="D6" s="31" t="s">
        <v>152</v>
      </c>
      <c r="E6" s="31" t="s">
        <v>153</v>
      </c>
      <c r="F6" s="31" t="s">
        <v>154</v>
      </c>
      <c r="G6" s="31" t="s">
        <v>155</v>
      </c>
      <c r="H6" s="31" t="s">
        <v>156</v>
      </c>
      <c r="I6" s="31" t="s">
        <v>157</v>
      </c>
    </row>
    <row r="7" customFormat="false" ht="13.8" hidden="false" customHeight="false" outlineLevel="0" collapsed="false">
      <c r="A7" s="86" t="s">
        <v>158</v>
      </c>
      <c r="B7" s="87" t="s">
        <v>159</v>
      </c>
      <c r="C7" s="86" t="s">
        <v>160</v>
      </c>
      <c r="D7" s="88" t="s">
        <v>161</v>
      </c>
      <c r="E7" s="88" t="s">
        <v>74</v>
      </c>
      <c r="F7" s="88" t="s">
        <v>12</v>
      </c>
      <c r="G7" s="86" t="n">
        <v>4031</v>
      </c>
      <c r="H7" s="86" t="n">
        <v>19.8</v>
      </c>
      <c r="I7" s="88" t="s">
        <v>77</v>
      </c>
    </row>
    <row r="8" customFormat="false" ht="13.8" hidden="false" customHeight="false" outlineLevel="0" collapsed="false">
      <c r="A8" s="86" t="s">
        <v>162</v>
      </c>
      <c r="B8" s="87" t="s">
        <v>163</v>
      </c>
      <c r="C8" s="86" t="s">
        <v>160</v>
      </c>
      <c r="D8" s="88" t="s">
        <v>161</v>
      </c>
      <c r="E8" s="88" t="s">
        <v>74</v>
      </c>
      <c r="F8" s="88" t="s">
        <v>12</v>
      </c>
      <c r="G8" s="86" t="n">
        <v>10238</v>
      </c>
      <c r="H8" s="86" t="n">
        <v>0</v>
      </c>
      <c r="I8" s="88" t="s">
        <v>77</v>
      </c>
    </row>
    <row r="9" customFormat="false" ht="13.8" hidden="false" customHeight="false" outlineLevel="0" collapsed="false">
      <c r="A9" s="86" t="s">
        <v>164</v>
      </c>
      <c r="B9" s="87" t="s">
        <v>159</v>
      </c>
      <c r="C9" s="86" t="s">
        <v>165</v>
      </c>
      <c r="D9" s="88" t="s">
        <v>161</v>
      </c>
      <c r="E9" s="88" t="s">
        <v>74</v>
      </c>
      <c r="F9" s="88" t="s">
        <v>12</v>
      </c>
      <c r="G9" s="86" t="n">
        <v>1712</v>
      </c>
      <c r="H9" s="86" t="n">
        <v>3.15</v>
      </c>
      <c r="I9" s="88" t="s">
        <v>77</v>
      </c>
    </row>
    <row r="10" customFormat="false" ht="13.8" hidden="false" customHeight="false" outlineLevel="0" collapsed="false">
      <c r="A10" s="86" t="s">
        <v>166</v>
      </c>
      <c r="B10" s="87" t="s">
        <v>159</v>
      </c>
      <c r="C10" s="86" t="s">
        <v>165</v>
      </c>
      <c r="D10" s="88" t="s">
        <v>161</v>
      </c>
      <c r="E10" s="88" t="s">
        <v>74</v>
      </c>
      <c r="F10" s="88" t="s">
        <v>12</v>
      </c>
      <c r="G10" s="86" t="n">
        <v>257</v>
      </c>
      <c r="H10" s="86" t="n">
        <v>0</v>
      </c>
      <c r="I10" s="88" t="s">
        <v>77</v>
      </c>
    </row>
    <row r="11" customFormat="false" ht="13.8" hidden="false" customHeight="false" outlineLevel="0" collapsed="false">
      <c r="A11" s="86" t="s">
        <v>167</v>
      </c>
      <c r="B11" s="87" t="s">
        <v>159</v>
      </c>
      <c r="C11" s="86" t="s">
        <v>165</v>
      </c>
      <c r="D11" s="88" t="s">
        <v>161</v>
      </c>
      <c r="E11" s="88" t="s">
        <v>74</v>
      </c>
      <c r="F11" s="88" t="s">
        <v>12</v>
      </c>
      <c r="G11" s="86" t="n">
        <v>839</v>
      </c>
      <c r="H11" s="86" t="n">
        <v>28.25</v>
      </c>
      <c r="I11" s="88" t="s">
        <v>77</v>
      </c>
    </row>
    <row r="12" customFormat="false" ht="13.8" hidden="false" customHeight="false" outlineLevel="0" collapsed="false">
      <c r="A12" s="86" t="s">
        <v>168</v>
      </c>
      <c r="B12" s="87" t="s">
        <v>159</v>
      </c>
      <c r="C12" s="86" t="s">
        <v>169</v>
      </c>
      <c r="D12" s="88" t="s">
        <v>161</v>
      </c>
      <c r="E12" s="88" t="s">
        <v>74</v>
      </c>
      <c r="F12" s="88" t="s">
        <v>12</v>
      </c>
      <c r="G12" s="86" t="n">
        <v>2966</v>
      </c>
      <c r="H12" s="86" t="n">
        <v>0</v>
      </c>
      <c r="I12" s="88" t="s">
        <v>77</v>
      </c>
    </row>
    <row r="13" customFormat="false" ht="13.8" hidden="false" customHeight="false" outlineLevel="0" collapsed="false">
      <c r="A13" s="86" t="s">
        <v>170</v>
      </c>
      <c r="B13" s="87" t="s">
        <v>171</v>
      </c>
      <c r="C13" s="86" t="s">
        <v>172</v>
      </c>
      <c r="D13" s="88" t="s">
        <v>161</v>
      </c>
      <c r="E13" s="88" t="s">
        <v>74</v>
      </c>
      <c r="F13" s="88" t="s">
        <v>12</v>
      </c>
      <c r="G13" s="86" t="n">
        <v>657</v>
      </c>
      <c r="H13" s="86" t="n">
        <v>0</v>
      </c>
      <c r="I13" s="88" t="s">
        <v>77</v>
      </c>
    </row>
    <row r="14" customFormat="false" ht="13.8" hidden="false" customHeight="false" outlineLevel="0" collapsed="false">
      <c r="A14" s="86" t="s">
        <v>173</v>
      </c>
      <c r="B14" s="87" t="s">
        <v>159</v>
      </c>
      <c r="C14" s="86" t="s">
        <v>174</v>
      </c>
      <c r="D14" s="88" t="s">
        <v>161</v>
      </c>
      <c r="E14" s="88" t="s">
        <v>74</v>
      </c>
      <c r="F14" s="88" t="s">
        <v>12</v>
      </c>
      <c r="G14" s="86" t="n">
        <v>221587</v>
      </c>
      <c r="H14" s="86" t="n">
        <v>0</v>
      </c>
      <c r="I14" s="88" t="s">
        <v>77</v>
      </c>
    </row>
    <row r="15" customFormat="false" ht="13.8" hidden="false" customHeight="false" outlineLevel="0" collapsed="false">
      <c r="A15" s="86" t="s">
        <v>175</v>
      </c>
      <c r="B15" s="87" t="s">
        <v>159</v>
      </c>
      <c r="C15" s="86" t="s">
        <v>174</v>
      </c>
      <c r="D15" s="88" t="s">
        <v>161</v>
      </c>
      <c r="E15" s="88" t="s">
        <v>74</v>
      </c>
      <c r="F15" s="88" t="s">
        <v>12</v>
      </c>
      <c r="G15" s="86" t="n">
        <v>43167</v>
      </c>
      <c r="H15" s="86" t="n">
        <v>0</v>
      </c>
      <c r="I15" s="88" t="s">
        <v>77</v>
      </c>
    </row>
    <row r="16" customFormat="false" ht="13.8" hidden="false" customHeight="false" outlineLevel="0" collapsed="false">
      <c r="A16" s="86" t="s">
        <v>176</v>
      </c>
      <c r="B16" s="87" t="s">
        <v>159</v>
      </c>
      <c r="C16" s="86" t="s">
        <v>177</v>
      </c>
      <c r="D16" s="88" t="s">
        <v>161</v>
      </c>
      <c r="E16" s="88" t="s">
        <v>74</v>
      </c>
      <c r="F16" s="88" t="s">
        <v>12</v>
      </c>
      <c r="G16" s="86" t="n">
        <v>21588</v>
      </c>
      <c r="H16" s="86" t="n">
        <v>7.53</v>
      </c>
      <c r="I16" s="88" t="s">
        <v>77</v>
      </c>
    </row>
    <row r="17" customFormat="false" ht="13.8" hidden="false" customHeight="false" outlineLevel="0" collapsed="false">
      <c r="A17" s="86" t="s">
        <v>178</v>
      </c>
      <c r="B17" s="87" t="s">
        <v>159</v>
      </c>
      <c r="C17" s="86" t="s">
        <v>177</v>
      </c>
      <c r="D17" s="88" t="s">
        <v>161</v>
      </c>
      <c r="E17" s="88" t="s">
        <v>74</v>
      </c>
      <c r="F17" s="88" t="s">
        <v>12</v>
      </c>
      <c r="G17" s="86" t="n">
        <v>541</v>
      </c>
      <c r="H17" s="86" t="n">
        <v>0</v>
      </c>
      <c r="I17" s="88" t="s">
        <v>77</v>
      </c>
    </row>
    <row r="18" customFormat="false" ht="13.8" hidden="false" customHeight="false" outlineLevel="0" collapsed="false">
      <c r="A18" s="86" t="s">
        <v>179</v>
      </c>
      <c r="B18" s="87" t="s">
        <v>159</v>
      </c>
      <c r="C18" s="86" t="s">
        <v>180</v>
      </c>
      <c r="D18" s="88" t="s">
        <v>161</v>
      </c>
      <c r="E18" s="88" t="s">
        <v>74</v>
      </c>
      <c r="F18" s="88" t="s">
        <v>12</v>
      </c>
      <c r="G18" s="86" t="n">
        <v>15464</v>
      </c>
      <c r="H18" s="86" t="n">
        <v>0</v>
      </c>
      <c r="I18" s="88" t="s">
        <v>77</v>
      </c>
    </row>
    <row r="19" customFormat="false" ht="13.8" hidden="false" customHeight="false" outlineLevel="0" collapsed="false">
      <c r="A19" s="86" t="s">
        <v>181</v>
      </c>
      <c r="B19" s="87" t="s">
        <v>159</v>
      </c>
      <c r="C19" s="86" t="s">
        <v>180</v>
      </c>
      <c r="D19" s="88" t="s">
        <v>161</v>
      </c>
      <c r="E19" s="88" t="s">
        <v>74</v>
      </c>
      <c r="F19" s="88" t="s">
        <v>12</v>
      </c>
      <c r="G19" s="86" t="n">
        <v>26688</v>
      </c>
      <c r="H19" s="86" t="n">
        <v>0</v>
      </c>
      <c r="I19" s="88" t="s">
        <v>77</v>
      </c>
    </row>
    <row r="20" customFormat="false" ht="13.8" hidden="false" customHeight="false" outlineLevel="0" collapsed="false">
      <c r="A20" s="86" t="s">
        <v>182</v>
      </c>
      <c r="B20" s="87" t="s">
        <v>159</v>
      </c>
      <c r="C20" s="86" t="s">
        <v>183</v>
      </c>
      <c r="D20" s="88" t="s">
        <v>161</v>
      </c>
      <c r="E20" s="88" t="s">
        <v>74</v>
      </c>
      <c r="F20" s="88" t="s">
        <v>12</v>
      </c>
      <c r="G20" s="86" t="n">
        <v>1376</v>
      </c>
      <c r="H20" s="86" t="n">
        <v>84.96</v>
      </c>
      <c r="I20" s="88" t="s">
        <v>77</v>
      </c>
    </row>
    <row r="21" customFormat="false" ht="13.8" hidden="false" customHeight="false" outlineLevel="0" collapsed="false">
      <c r="A21" s="86" t="s">
        <v>184</v>
      </c>
      <c r="B21" s="87" t="s">
        <v>159</v>
      </c>
      <c r="C21" s="86" t="s">
        <v>183</v>
      </c>
      <c r="D21" s="88" t="s">
        <v>161</v>
      </c>
      <c r="E21" s="88" t="s">
        <v>74</v>
      </c>
      <c r="F21" s="88" t="s">
        <v>12</v>
      </c>
      <c r="G21" s="86" t="n">
        <v>119318</v>
      </c>
      <c r="H21" s="86" t="n">
        <v>0.1</v>
      </c>
      <c r="I21" s="88" t="s">
        <v>77</v>
      </c>
    </row>
    <row r="22" customFormat="false" ht="13.8" hidden="false" customHeight="false" outlineLevel="0" collapsed="false">
      <c r="A22" s="86" t="s">
        <v>185</v>
      </c>
      <c r="B22" s="87" t="s">
        <v>159</v>
      </c>
      <c r="C22" s="86" t="s">
        <v>186</v>
      </c>
      <c r="D22" s="88" t="s">
        <v>161</v>
      </c>
      <c r="E22" s="88" t="s">
        <v>74</v>
      </c>
      <c r="F22" s="88" t="s">
        <v>12</v>
      </c>
      <c r="G22" s="86" t="n">
        <v>732</v>
      </c>
      <c r="H22" s="86" t="n">
        <v>0</v>
      </c>
      <c r="I22" s="88" t="s">
        <v>77</v>
      </c>
    </row>
    <row r="23" customFormat="false" ht="13.8" hidden="false" customHeight="false" outlineLevel="0" collapsed="false">
      <c r="A23" s="86" t="s">
        <v>187</v>
      </c>
      <c r="B23" s="87" t="s">
        <v>163</v>
      </c>
      <c r="C23" s="86" t="s">
        <v>186</v>
      </c>
      <c r="D23" s="88" t="s">
        <v>161</v>
      </c>
      <c r="E23" s="88" t="s">
        <v>74</v>
      </c>
      <c r="F23" s="88" t="s">
        <v>12</v>
      </c>
      <c r="G23" s="86" t="n">
        <v>153</v>
      </c>
      <c r="H23" s="86" t="n">
        <v>0</v>
      </c>
      <c r="I23" s="88" t="s">
        <v>77</v>
      </c>
    </row>
    <row r="24" customFormat="false" ht="13.8" hidden="false" customHeight="false" outlineLevel="0" collapsed="false">
      <c r="A24" s="86" t="s">
        <v>188</v>
      </c>
      <c r="B24" s="87" t="s">
        <v>189</v>
      </c>
      <c r="C24" s="86" t="s">
        <v>186</v>
      </c>
      <c r="D24" s="88" t="s">
        <v>161</v>
      </c>
      <c r="E24" s="88" t="s">
        <v>74</v>
      </c>
      <c r="F24" s="88" t="s">
        <v>12</v>
      </c>
      <c r="G24" s="86" t="n">
        <v>1205</v>
      </c>
      <c r="H24" s="86" t="n">
        <v>0</v>
      </c>
      <c r="I24" s="88" t="s">
        <v>77</v>
      </c>
    </row>
    <row r="25" customFormat="false" ht="13.8" hidden="false" customHeight="false" outlineLevel="0" collapsed="false">
      <c r="A25" s="86" t="s">
        <v>190</v>
      </c>
      <c r="B25" s="87" t="s">
        <v>159</v>
      </c>
      <c r="C25" s="86" t="s">
        <v>191</v>
      </c>
      <c r="D25" s="88" t="s">
        <v>161</v>
      </c>
      <c r="E25" s="88" t="s">
        <v>74</v>
      </c>
      <c r="F25" s="88" t="s">
        <v>12</v>
      </c>
      <c r="G25" s="86" t="n">
        <v>18653</v>
      </c>
      <c r="H25" s="86" t="n">
        <v>20.44</v>
      </c>
      <c r="I25" s="88" t="s">
        <v>77</v>
      </c>
    </row>
    <row r="26" customFormat="false" ht="13.8" hidden="false" customHeight="false" outlineLevel="0" collapsed="false">
      <c r="A26" s="86" t="s">
        <v>192</v>
      </c>
      <c r="B26" s="87" t="s">
        <v>159</v>
      </c>
      <c r="C26" s="86" t="s">
        <v>191</v>
      </c>
      <c r="D26" s="88" t="s">
        <v>161</v>
      </c>
      <c r="E26" s="88" t="s">
        <v>74</v>
      </c>
      <c r="F26" s="88" t="s">
        <v>12</v>
      </c>
      <c r="G26" s="86" t="n">
        <v>8482</v>
      </c>
      <c r="H26" s="86" t="n">
        <v>0</v>
      </c>
      <c r="I26" s="88" t="s">
        <v>77</v>
      </c>
    </row>
    <row r="27" customFormat="false" ht="13.8" hidden="false" customHeight="false" outlineLevel="0" collapsed="false">
      <c r="A27" s="86" t="s">
        <v>193</v>
      </c>
      <c r="B27" s="87" t="s">
        <v>159</v>
      </c>
      <c r="C27" s="86" t="s">
        <v>194</v>
      </c>
      <c r="D27" s="88" t="s">
        <v>161</v>
      </c>
      <c r="E27" s="88" t="s">
        <v>74</v>
      </c>
      <c r="F27" s="88" t="s">
        <v>12</v>
      </c>
      <c r="G27" s="86" t="n">
        <v>15482</v>
      </c>
      <c r="H27" s="86" t="n">
        <v>36.18</v>
      </c>
      <c r="I27" s="88" t="s">
        <v>77</v>
      </c>
    </row>
    <row r="28" customFormat="false" ht="13.8" hidden="false" customHeight="false" outlineLevel="0" collapsed="false">
      <c r="A28" s="86" t="s">
        <v>195</v>
      </c>
      <c r="B28" s="87" t="s">
        <v>159</v>
      </c>
      <c r="C28" s="86" t="s">
        <v>196</v>
      </c>
      <c r="D28" s="88" t="s">
        <v>161</v>
      </c>
      <c r="E28" s="88" t="s">
        <v>74</v>
      </c>
      <c r="F28" s="88" t="s">
        <v>12</v>
      </c>
      <c r="G28" s="86" t="n">
        <v>7301</v>
      </c>
      <c r="H28" s="86" t="n">
        <v>0</v>
      </c>
      <c r="I28" s="88" t="s">
        <v>77</v>
      </c>
    </row>
    <row r="29" customFormat="false" ht="13.8" hidden="false" customHeight="false" outlineLevel="0" collapsed="false">
      <c r="A29" s="86" t="s">
        <v>197</v>
      </c>
      <c r="B29" s="87" t="s">
        <v>159</v>
      </c>
      <c r="C29" s="86" t="s">
        <v>198</v>
      </c>
      <c r="D29" s="88" t="s">
        <v>161</v>
      </c>
      <c r="E29" s="88" t="s">
        <v>74</v>
      </c>
      <c r="F29" s="88" t="s">
        <v>12</v>
      </c>
      <c r="G29" s="86" t="n">
        <v>6290</v>
      </c>
      <c r="H29" s="86" t="n">
        <v>24.91</v>
      </c>
      <c r="I29" s="88" t="s">
        <v>77</v>
      </c>
    </row>
    <row r="30" customFormat="false" ht="13.8" hidden="false" customHeight="false" outlineLevel="0" collapsed="false">
      <c r="A30" s="86" t="s">
        <v>199</v>
      </c>
      <c r="B30" s="87" t="s">
        <v>159</v>
      </c>
      <c r="C30" s="86" t="s">
        <v>200</v>
      </c>
      <c r="D30" s="88" t="s">
        <v>161</v>
      </c>
      <c r="E30" s="88" t="s">
        <v>74</v>
      </c>
      <c r="F30" s="88" t="s">
        <v>12</v>
      </c>
      <c r="G30" s="86" t="n">
        <v>679</v>
      </c>
      <c r="H30" s="86" t="n">
        <v>99.85</v>
      </c>
      <c r="I30" s="88" t="s">
        <v>77</v>
      </c>
    </row>
    <row r="31" customFormat="false" ht="13.8" hidden="false" customHeight="false" outlineLevel="0" collapsed="false">
      <c r="A31" s="86" t="s">
        <v>201</v>
      </c>
      <c r="B31" s="87" t="s">
        <v>159</v>
      </c>
      <c r="C31" s="86" t="s">
        <v>200</v>
      </c>
      <c r="D31" s="88" t="s">
        <v>161</v>
      </c>
      <c r="E31" s="88" t="s">
        <v>74</v>
      </c>
      <c r="F31" s="88" t="s">
        <v>12</v>
      </c>
      <c r="G31" s="86" t="n">
        <v>874</v>
      </c>
      <c r="H31" s="86" t="n">
        <v>0</v>
      </c>
      <c r="I31" s="88" t="s">
        <v>77</v>
      </c>
    </row>
    <row r="32" customFormat="false" ht="13.8" hidden="false" customHeight="false" outlineLevel="0" collapsed="false">
      <c r="A32" s="86" t="s">
        <v>202</v>
      </c>
      <c r="B32" s="87" t="s">
        <v>159</v>
      </c>
      <c r="C32" s="86" t="s">
        <v>200</v>
      </c>
      <c r="D32" s="88" t="s">
        <v>161</v>
      </c>
      <c r="E32" s="88" t="s">
        <v>74</v>
      </c>
      <c r="F32" s="88" t="s">
        <v>12</v>
      </c>
      <c r="G32" s="86" t="n">
        <v>4482</v>
      </c>
      <c r="H32" s="86" t="n">
        <v>0</v>
      </c>
      <c r="I32" s="88" t="s">
        <v>77</v>
      </c>
    </row>
    <row r="33" customFormat="false" ht="13.8" hidden="false" customHeight="false" outlineLevel="0" collapsed="false">
      <c r="A33" s="86" t="s">
        <v>203</v>
      </c>
      <c r="B33" s="87" t="s">
        <v>159</v>
      </c>
      <c r="C33" s="86" t="s">
        <v>200</v>
      </c>
      <c r="D33" s="88" t="s">
        <v>161</v>
      </c>
      <c r="E33" s="88" t="s">
        <v>74</v>
      </c>
      <c r="F33" s="88" t="s">
        <v>12</v>
      </c>
      <c r="G33" s="86" t="n">
        <v>163</v>
      </c>
      <c r="H33" s="86" t="n">
        <v>0</v>
      </c>
      <c r="I33" s="88" t="s">
        <v>77</v>
      </c>
    </row>
    <row r="34" customFormat="false" ht="13.8" hidden="false" customHeight="false" outlineLevel="0" collapsed="false">
      <c r="A34" s="86" t="s">
        <v>204</v>
      </c>
      <c r="B34" s="87" t="s">
        <v>159</v>
      </c>
      <c r="C34" s="86" t="s">
        <v>200</v>
      </c>
      <c r="D34" s="88" t="s">
        <v>161</v>
      </c>
      <c r="E34" s="88" t="s">
        <v>74</v>
      </c>
      <c r="F34" s="88" t="s">
        <v>12</v>
      </c>
      <c r="G34" s="86" t="n">
        <v>521</v>
      </c>
      <c r="H34" s="86" t="n">
        <v>0</v>
      </c>
      <c r="I34" s="88" t="s">
        <v>77</v>
      </c>
    </row>
    <row r="35" customFormat="false" ht="13.8" hidden="false" customHeight="false" outlineLevel="0" collapsed="false">
      <c r="A35" s="86" t="s">
        <v>205</v>
      </c>
      <c r="B35" s="87" t="s">
        <v>163</v>
      </c>
      <c r="C35" s="86" t="s">
        <v>200</v>
      </c>
      <c r="D35" s="88" t="s">
        <v>161</v>
      </c>
      <c r="E35" s="88" t="s">
        <v>74</v>
      </c>
      <c r="F35" s="88" t="s">
        <v>12</v>
      </c>
      <c r="G35" s="86" t="n">
        <v>7105</v>
      </c>
      <c r="H35" s="86" t="n">
        <v>0</v>
      </c>
      <c r="I35" s="88" t="s">
        <v>77</v>
      </c>
    </row>
    <row r="36" customFormat="false" ht="13.8" hidden="false" customHeight="false" outlineLevel="0" collapsed="false">
      <c r="A36" s="86" t="s">
        <v>206</v>
      </c>
      <c r="B36" s="87" t="s">
        <v>159</v>
      </c>
      <c r="C36" s="86" t="s">
        <v>200</v>
      </c>
      <c r="D36" s="88" t="s">
        <v>161</v>
      </c>
      <c r="E36" s="88" t="s">
        <v>74</v>
      </c>
      <c r="F36" s="88" t="s">
        <v>12</v>
      </c>
      <c r="G36" s="86" t="n">
        <v>66361</v>
      </c>
      <c r="H36" s="86" t="n">
        <v>40.59</v>
      </c>
      <c r="I36" s="88" t="s">
        <v>77</v>
      </c>
    </row>
    <row r="37" customFormat="false" ht="13.8" hidden="false" customHeight="false" outlineLevel="0" collapsed="false">
      <c r="A37" s="86" t="s">
        <v>207</v>
      </c>
      <c r="B37" s="87" t="s">
        <v>159</v>
      </c>
      <c r="C37" s="86" t="s">
        <v>208</v>
      </c>
      <c r="D37" s="88" t="s">
        <v>161</v>
      </c>
      <c r="E37" s="88" t="s">
        <v>74</v>
      </c>
      <c r="F37" s="88" t="s">
        <v>12</v>
      </c>
      <c r="G37" s="86" t="n">
        <v>721</v>
      </c>
      <c r="H37" s="86" t="n">
        <v>100</v>
      </c>
      <c r="I37" s="88" t="s">
        <v>77</v>
      </c>
    </row>
    <row r="38" customFormat="false" ht="13.8" hidden="false" customHeight="false" outlineLevel="0" collapsed="false">
      <c r="A38" s="86" t="s">
        <v>209</v>
      </c>
      <c r="B38" s="87" t="s">
        <v>159</v>
      </c>
      <c r="C38" s="86" t="s">
        <v>208</v>
      </c>
      <c r="D38" s="88" t="s">
        <v>161</v>
      </c>
      <c r="E38" s="88" t="s">
        <v>74</v>
      </c>
      <c r="F38" s="88" t="s">
        <v>12</v>
      </c>
      <c r="G38" s="86" t="n">
        <v>4219</v>
      </c>
      <c r="H38" s="86" t="n">
        <v>0</v>
      </c>
      <c r="I38" s="88" t="s">
        <v>77</v>
      </c>
    </row>
    <row r="39" customFormat="false" ht="13.8" hidden="false" customHeight="false" outlineLevel="0" collapsed="false">
      <c r="A39" s="86" t="s">
        <v>210</v>
      </c>
      <c r="B39" s="87" t="s">
        <v>159</v>
      </c>
      <c r="C39" s="86" t="s">
        <v>211</v>
      </c>
      <c r="D39" s="88" t="s">
        <v>161</v>
      </c>
      <c r="E39" s="88" t="s">
        <v>74</v>
      </c>
      <c r="F39" s="88" t="s">
        <v>12</v>
      </c>
      <c r="G39" s="86" t="n">
        <v>212</v>
      </c>
      <c r="H39" s="86" t="n">
        <v>0</v>
      </c>
      <c r="I39" s="88" t="s">
        <v>77</v>
      </c>
    </row>
    <row r="40" customFormat="false" ht="13.8" hidden="false" customHeight="false" outlineLevel="0" collapsed="false">
      <c r="A40" s="86" t="s">
        <v>212</v>
      </c>
      <c r="B40" s="87" t="s">
        <v>159</v>
      </c>
      <c r="C40" s="86" t="s">
        <v>213</v>
      </c>
      <c r="D40" s="88" t="s">
        <v>161</v>
      </c>
      <c r="E40" s="88" t="s">
        <v>74</v>
      </c>
      <c r="F40" s="88" t="s">
        <v>12</v>
      </c>
      <c r="G40" s="86" t="n">
        <v>976</v>
      </c>
      <c r="H40" s="86" t="n">
        <v>0</v>
      </c>
      <c r="I40" s="88" t="s">
        <v>77</v>
      </c>
    </row>
    <row r="41" customFormat="false" ht="13.8" hidden="false" customHeight="false" outlineLevel="0" collapsed="false">
      <c r="A41" s="86" t="s">
        <v>214</v>
      </c>
      <c r="B41" s="87" t="s">
        <v>159</v>
      </c>
      <c r="C41" s="86" t="s">
        <v>215</v>
      </c>
      <c r="D41" s="88" t="s">
        <v>161</v>
      </c>
      <c r="E41" s="88" t="s">
        <v>74</v>
      </c>
      <c r="F41" s="88" t="s">
        <v>12</v>
      </c>
      <c r="G41" s="86" t="n">
        <v>938</v>
      </c>
      <c r="H41" s="86" t="n">
        <v>16.1</v>
      </c>
      <c r="I41" s="88" t="s">
        <v>77</v>
      </c>
    </row>
    <row r="42" customFormat="false" ht="13.8" hidden="false" customHeight="false" outlineLevel="0" collapsed="false">
      <c r="A42" s="86" t="s">
        <v>216</v>
      </c>
      <c r="B42" s="87" t="s">
        <v>159</v>
      </c>
      <c r="C42" s="86" t="s">
        <v>217</v>
      </c>
      <c r="D42" s="88" t="s">
        <v>161</v>
      </c>
      <c r="E42" s="88" t="s">
        <v>74</v>
      </c>
      <c r="F42" s="88" t="s">
        <v>12</v>
      </c>
      <c r="G42" s="86" t="n">
        <v>552</v>
      </c>
      <c r="H42" s="86" t="n">
        <v>100</v>
      </c>
      <c r="I42" s="88" t="s">
        <v>77</v>
      </c>
    </row>
    <row r="43" customFormat="false" ht="13.8" hidden="false" customHeight="false" outlineLevel="0" collapsed="false">
      <c r="A43" s="86" t="s">
        <v>218</v>
      </c>
      <c r="B43" s="87" t="s">
        <v>159</v>
      </c>
      <c r="C43" s="86" t="s">
        <v>219</v>
      </c>
      <c r="D43" s="88" t="s">
        <v>161</v>
      </c>
      <c r="E43" s="88" t="s">
        <v>74</v>
      </c>
      <c r="F43" s="88" t="s">
        <v>12</v>
      </c>
      <c r="G43" s="86" t="n">
        <v>15603</v>
      </c>
      <c r="H43" s="86" t="n">
        <v>0</v>
      </c>
      <c r="I43" s="88" t="s">
        <v>77</v>
      </c>
    </row>
    <row r="44" customFormat="false" ht="13.8" hidden="false" customHeight="false" outlineLevel="0" collapsed="false">
      <c r="A44" s="86" t="s">
        <v>220</v>
      </c>
      <c r="B44" s="87" t="s">
        <v>163</v>
      </c>
      <c r="C44" s="86" t="s">
        <v>219</v>
      </c>
      <c r="D44" s="88" t="s">
        <v>161</v>
      </c>
      <c r="E44" s="88" t="s">
        <v>74</v>
      </c>
      <c r="F44" s="88" t="s">
        <v>12</v>
      </c>
      <c r="G44" s="86" t="n">
        <v>12419</v>
      </c>
      <c r="H44" s="86" t="n">
        <v>0</v>
      </c>
      <c r="I44" s="88" t="s">
        <v>77</v>
      </c>
    </row>
    <row r="45" customFormat="false" ht="13.8" hidden="false" customHeight="false" outlineLevel="0" collapsed="false">
      <c r="A45" s="86" t="s">
        <v>221</v>
      </c>
      <c r="B45" s="87" t="s">
        <v>159</v>
      </c>
      <c r="C45" s="86" t="s">
        <v>222</v>
      </c>
      <c r="D45" s="88" t="s">
        <v>161</v>
      </c>
      <c r="E45" s="88" t="s">
        <v>74</v>
      </c>
      <c r="F45" s="88" t="s">
        <v>12</v>
      </c>
      <c r="G45" s="86" t="n">
        <v>43251</v>
      </c>
      <c r="H45" s="86" t="n">
        <v>0</v>
      </c>
      <c r="I45" s="88" t="s">
        <v>77</v>
      </c>
    </row>
    <row r="46" customFormat="false" ht="13.8" hidden="false" customHeight="false" outlineLevel="0" collapsed="false">
      <c r="A46" s="86" t="s">
        <v>223</v>
      </c>
      <c r="B46" s="87" t="s">
        <v>163</v>
      </c>
      <c r="C46" s="86" t="s">
        <v>224</v>
      </c>
      <c r="D46" s="88" t="s">
        <v>161</v>
      </c>
      <c r="E46" s="88" t="s">
        <v>74</v>
      </c>
      <c r="F46" s="88" t="s">
        <v>12</v>
      </c>
      <c r="G46" s="86" t="n">
        <v>3306</v>
      </c>
      <c r="H46" s="86" t="n">
        <v>0</v>
      </c>
      <c r="I46" s="88" t="s">
        <v>77</v>
      </c>
    </row>
    <row r="47" customFormat="false" ht="13.8" hidden="false" customHeight="false" outlineLevel="0" collapsed="false">
      <c r="A47" s="86" t="s">
        <v>225</v>
      </c>
      <c r="B47" s="87" t="s">
        <v>159</v>
      </c>
      <c r="C47" s="86" t="s">
        <v>224</v>
      </c>
      <c r="D47" s="88" t="s">
        <v>161</v>
      </c>
      <c r="E47" s="88" t="s">
        <v>74</v>
      </c>
      <c r="F47" s="88" t="s">
        <v>12</v>
      </c>
      <c r="G47" s="86" t="n">
        <v>326</v>
      </c>
      <c r="H47" s="86" t="n">
        <v>100</v>
      </c>
      <c r="I47" s="88" t="s">
        <v>77</v>
      </c>
    </row>
    <row r="48" customFormat="false" ht="13.8" hidden="false" customHeight="false" outlineLevel="0" collapsed="false">
      <c r="A48" s="86" t="s">
        <v>226</v>
      </c>
      <c r="B48" s="87" t="s">
        <v>163</v>
      </c>
      <c r="C48" s="86" t="s">
        <v>227</v>
      </c>
      <c r="D48" s="88" t="s">
        <v>161</v>
      </c>
      <c r="E48" s="88" t="s">
        <v>74</v>
      </c>
      <c r="F48" s="88" t="s">
        <v>12</v>
      </c>
      <c r="G48" s="86" t="n">
        <v>3978</v>
      </c>
      <c r="H48" s="86" t="n">
        <v>12.54</v>
      </c>
      <c r="I48" s="88" t="s">
        <v>77</v>
      </c>
    </row>
    <row r="49" customFormat="false" ht="13.8" hidden="false" customHeight="false" outlineLevel="0" collapsed="false">
      <c r="A49" s="86" t="s">
        <v>228</v>
      </c>
      <c r="B49" s="87" t="s">
        <v>163</v>
      </c>
      <c r="C49" s="86" t="s">
        <v>227</v>
      </c>
      <c r="D49" s="88" t="s">
        <v>161</v>
      </c>
      <c r="E49" s="88" t="s">
        <v>74</v>
      </c>
      <c r="F49" s="88" t="s">
        <v>12</v>
      </c>
      <c r="G49" s="86" t="n">
        <v>819</v>
      </c>
      <c r="H49" s="86" t="n">
        <v>96.7</v>
      </c>
      <c r="I49" s="88" t="s">
        <v>77</v>
      </c>
    </row>
    <row r="50" customFormat="false" ht="13.8" hidden="false" customHeight="false" outlineLevel="0" collapsed="false">
      <c r="A50" s="86" t="s">
        <v>229</v>
      </c>
      <c r="B50" s="87" t="s">
        <v>159</v>
      </c>
      <c r="C50" s="86" t="s">
        <v>230</v>
      </c>
      <c r="D50" s="88" t="s">
        <v>161</v>
      </c>
      <c r="E50" s="88" t="s">
        <v>74</v>
      </c>
      <c r="F50" s="88" t="s">
        <v>12</v>
      </c>
      <c r="G50" s="86" t="n">
        <v>8488</v>
      </c>
      <c r="H50" s="86" t="n">
        <v>64.66</v>
      </c>
      <c r="I50" s="88" t="s">
        <v>77</v>
      </c>
    </row>
    <row r="51" customFormat="false" ht="13.8" hidden="false" customHeight="false" outlineLevel="0" collapsed="false">
      <c r="A51" s="86" t="s">
        <v>231</v>
      </c>
      <c r="B51" s="87" t="s">
        <v>159</v>
      </c>
      <c r="C51" s="86" t="s">
        <v>232</v>
      </c>
      <c r="D51" s="88" t="s">
        <v>161</v>
      </c>
      <c r="E51" s="88" t="s">
        <v>74</v>
      </c>
      <c r="F51" s="88" t="s">
        <v>12</v>
      </c>
      <c r="G51" s="86" t="n">
        <v>93138</v>
      </c>
      <c r="H51" s="86" t="n">
        <v>0.11</v>
      </c>
      <c r="I51" s="88" t="s">
        <v>77</v>
      </c>
    </row>
    <row r="52" customFormat="false" ht="13.8" hidden="false" customHeight="false" outlineLevel="0" collapsed="false">
      <c r="A52" s="86" t="s">
        <v>233</v>
      </c>
      <c r="B52" s="87" t="s">
        <v>159</v>
      </c>
      <c r="C52" s="86" t="s">
        <v>232</v>
      </c>
      <c r="D52" s="88" t="s">
        <v>161</v>
      </c>
      <c r="E52" s="88" t="s">
        <v>74</v>
      </c>
      <c r="F52" s="88" t="s">
        <v>12</v>
      </c>
      <c r="G52" s="86" t="n">
        <v>9690</v>
      </c>
      <c r="H52" s="86" t="n">
        <v>0</v>
      </c>
      <c r="I52" s="88" t="s">
        <v>77</v>
      </c>
    </row>
    <row r="53" customFormat="false" ht="13.8" hidden="false" customHeight="false" outlineLevel="0" collapsed="false">
      <c r="A53" s="86" t="s">
        <v>234</v>
      </c>
      <c r="B53" s="87" t="s">
        <v>159</v>
      </c>
      <c r="C53" s="86" t="s">
        <v>232</v>
      </c>
      <c r="D53" s="88" t="s">
        <v>161</v>
      </c>
      <c r="E53" s="88" t="s">
        <v>74</v>
      </c>
      <c r="F53" s="88" t="s">
        <v>12</v>
      </c>
      <c r="G53" s="86" t="n">
        <v>172</v>
      </c>
      <c r="H53" s="86" t="n">
        <v>0</v>
      </c>
      <c r="I53" s="88" t="s">
        <v>77</v>
      </c>
    </row>
    <row r="54" customFormat="false" ht="13.8" hidden="false" customHeight="false" outlineLevel="0" collapsed="false">
      <c r="A54" s="86" t="s">
        <v>235</v>
      </c>
      <c r="B54" s="87" t="s">
        <v>159</v>
      </c>
      <c r="C54" s="86" t="s">
        <v>232</v>
      </c>
      <c r="D54" s="88" t="s">
        <v>161</v>
      </c>
      <c r="E54" s="88" t="s">
        <v>74</v>
      </c>
      <c r="F54" s="88" t="s">
        <v>12</v>
      </c>
      <c r="G54" s="86" t="n">
        <v>23873</v>
      </c>
      <c r="H54" s="86" t="n">
        <v>100</v>
      </c>
      <c r="I54" s="88" t="s">
        <v>77</v>
      </c>
    </row>
    <row r="55" customFormat="false" ht="13.8" hidden="false" customHeight="false" outlineLevel="0" collapsed="false">
      <c r="A55" s="86" t="s">
        <v>236</v>
      </c>
      <c r="B55" s="87" t="s">
        <v>159</v>
      </c>
      <c r="C55" s="86" t="s">
        <v>237</v>
      </c>
      <c r="D55" s="88" t="s">
        <v>161</v>
      </c>
      <c r="E55" s="88" t="s">
        <v>74</v>
      </c>
      <c r="F55" s="88" t="s">
        <v>12</v>
      </c>
      <c r="G55" s="86" t="n">
        <v>8918</v>
      </c>
      <c r="H55" s="86" t="n">
        <v>10.39</v>
      </c>
      <c r="I55" s="88" t="s">
        <v>77</v>
      </c>
    </row>
    <row r="56" customFormat="false" ht="13.8" hidden="false" customHeight="false" outlineLevel="0" collapsed="false">
      <c r="A56" s="86" t="s">
        <v>238</v>
      </c>
      <c r="B56" s="87" t="s">
        <v>159</v>
      </c>
      <c r="C56" s="86" t="s">
        <v>239</v>
      </c>
      <c r="D56" s="88" t="s">
        <v>161</v>
      </c>
      <c r="E56" s="88" t="s">
        <v>74</v>
      </c>
      <c r="F56" s="88" t="s">
        <v>12</v>
      </c>
      <c r="G56" s="86" t="n">
        <v>26945</v>
      </c>
      <c r="H56" s="86" t="n">
        <v>72.62</v>
      </c>
      <c r="I56" s="88" t="s">
        <v>77</v>
      </c>
    </row>
    <row r="57" customFormat="false" ht="13.8" hidden="false" customHeight="false" outlineLevel="0" collapsed="false">
      <c r="A57" s="86" t="s">
        <v>240</v>
      </c>
      <c r="B57" s="87" t="s">
        <v>163</v>
      </c>
      <c r="C57" s="86" t="s">
        <v>241</v>
      </c>
      <c r="D57" s="88" t="s">
        <v>161</v>
      </c>
      <c r="E57" s="88" t="s">
        <v>74</v>
      </c>
      <c r="F57" s="88" t="s">
        <v>12</v>
      </c>
      <c r="G57" s="86" t="n">
        <v>71453</v>
      </c>
      <c r="H57" s="86" t="n">
        <v>0</v>
      </c>
      <c r="I57" s="88" t="s">
        <v>77</v>
      </c>
    </row>
    <row r="58" customFormat="false" ht="13.8" hidden="false" customHeight="false" outlineLevel="0" collapsed="false">
      <c r="A58" s="86" t="s">
        <v>242</v>
      </c>
      <c r="B58" s="87" t="s">
        <v>159</v>
      </c>
      <c r="C58" s="86" t="s">
        <v>243</v>
      </c>
      <c r="D58" s="88" t="s">
        <v>161</v>
      </c>
      <c r="E58" s="88" t="s">
        <v>74</v>
      </c>
      <c r="F58" s="88" t="s">
        <v>12</v>
      </c>
      <c r="G58" s="86" t="n">
        <v>889</v>
      </c>
      <c r="H58" s="86" t="n">
        <v>97.64</v>
      </c>
      <c r="I58" s="88" t="s">
        <v>77</v>
      </c>
    </row>
    <row r="59" customFormat="false" ht="13.8" hidden="false" customHeight="false" outlineLevel="0" collapsed="false">
      <c r="A59" s="86" t="s">
        <v>244</v>
      </c>
      <c r="B59" s="87" t="s">
        <v>159</v>
      </c>
      <c r="C59" s="86" t="s">
        <v>245</v>
      </c>
      <c r="D59" s="88" t="s">
        <v>161</v>
      </c>
      <c r="E59" s="88" t="s">
        <v>74</v>
      </c>
      <c r="F59" s="88" t="s">
        <v>12</v>
      </c>
      <c r="G59" s="86" t="n">
        <v>24</v>
      </c>
      <c r="H59" s="86" t="n">
        <v>0</v>
      </c>
      <c r="I59" s="88" t="s">
        <v>77</v>
      </c>
    </row>
    <row r="60" customFormat="false" ht="13.8" hidden="false" customHeight="false" outlineLevel="0" collapsed="false">
      <c r="A60" s="86" t="s">
        <v>246</v>
      </c>
      <c r="B60" s="87" t="s">
        <v>159</v>
      </c>
      <c r="C60" s="86" t="s">
        <v>245</v>
      </c>
      <c r="D60" s="88" t="s">
        <v>161</v>
      </c>
      <c r="E60" s="88" t="s">
        <v>74</v>
      </c>
      <c r="F60" s="88" t="s">
        <v>12</v>
      </c>
      <c r="G60" s="86" t="n">
        <v>1603</v>
      </c>
      <c r="H60" s="86" t="n">
        <v>100</v>
      </c>
      <c r="I60" s="88" t="s">
        <v>77</v>
      </c>
    </row>
    <row r="61" customFormat="false" ht="13.8" hidden="false" customHeight="false" outlineLevel="0" collapsed="false">
      <c r="A61" s="86" t="s">
        <v>247</v>
      </c>
      <c r="B61" s="87" t="s">
        <v>159</v>
      </c>
      <c r="C61" s="86" t="s">
        <v>245</v>
      </c>
      <c r="D61" s="88" t="s">
        <v>161</v>
      </c>
      <c r="E61" s="88" t="s">
        <v>74</v>
      </c>
      <c r="F61" s="88" t="s">
        <v>12</v>
      </c>
      <c r="G61" s="86" t="n">
        <v>9244</v>
      </c>
      <c r="H61" s="86" t="n">
        <v>33.57</v>
      </c>
      <c r="I61" s="88" t="s">
        <v>77</v>
      </c>
    </row>
    <row r="62" customFormat="false" ht="13.8" hidden="false" customHeight="false" outlineLevel="0" collapsed="false">
      <c r="A62" s="86" t="s">
        <v>248</v>
      </c>
      <c r="B62" s="87" t="s">
        <v>159</v>
      </c>
      <c r="C62" s="86" t="s">
        <v>245</v>
      </c>
      <c r="D62" s="88" t="s">
        <v>161</v>
      </c>
      <c r="E62" s="88" t="s">
        <v>74</v>
      </c>
      <c r="F62" s="88" t="s">
        <v>12</v>
      </c>
      <c r="G62" s="86" t="n">
        <v>490</v>
      </c>
      <c r="H62" s="86" t="n">
        <v>37.35</v>
      </c>
      <c r="I62" s="88" t="s">
        <v>77</v>
      </c>
    </row>
    <row r="63" customFormat="false" ht="13.8" hidden="false" customHeight="false" outlineLevel="0" collapsed="false">
      <c r="A63" s="86" t="s">
        <v>249</v>
      </c>
      <c r="B63" s="87" t="s">
        <v>159</v>
      </c>
      <c r="C63" s="86" t="s">
        <v>245</v>
      </c>
      <c r="D63" s="88" t="s">
        <v>161</v>
      </c>
      <c r="E63" s="88" t="s">
        <v>74</v>
      </c>
      <c r="F63" s="88" t="s">
        <v>12</v>
      </c>
      <c r="G63" s="86" t="n">
        <v>246</v>
      </c>
      <c r="H63" s="86" t="n">
        <v>88.21</v>
      </c>
      <c r="I63" s="88" t="s">
        <v>77</v>
      </c>
    </row>
    <row r="64" customFormat="false" ht="13.8" hidden="false" customHeight="false" outlineLevel="0" collapsed="false">
      <c r="A64" s="86" t="s">
        <v>250</v>
      </c>
      <c r="B64" s="87" t="s">
        <v>159</v>
      </c>
      <c r="C64" s="86" t="s">
        <v>245</v>
      </c>
      <c r="D64" s="88" t="s">
        <v>161</v>
      </c>
      <c r="E64" s="88" t="s">
        <v>74</v>
      </c>
      <c r="F64" s="88" t="s">
        <v>12</v>
      </c>
      <c r="G64" s="86" t="n">
        <v>343</v>
      </c>
      <c r="H64" s="86" t="n">
        <v>0</v>
      </c>
      <c r="I64" s="88" t="s">
        <v>77</v>
      </c>
    </row>
    <row r="65" customFormat="false" ht="13.8" hidden="false" customHeight="false" outlineLevel="0" collapsed="false">
      <c r="A65" s="86" t="s">
        <v>251</v>
      </c>
      <c r="B65" s="87" t="s">
        <v>159</v>
      </c>
      <c r="C65" s="86" t="s">
        <v>252</v>
      </c>
      <c r="D65" s="88" t="s">
        <v>161</v>
      </c>
      <c r="E65" s="88" t="s">
        <v>74</v>
      </c>
      <c r="F65" s="88" t="s">
        <v>12</v>
      </c>
      <c r="G65" s="86" t="n">
        <v>44</v>
      </c>
      <c r="H65" s="86" t="n">
        <v>100</v>
      </c>
      <c r="I65" s="88" t="s">
        <v>77</v>
      </c>
    </row>
    <row r="66" customFormat="false" ht="13.8" hidden="false" customHeight="false" outlineLevel="0" collapsed="false">
      <c r="A66" s="86" t="s">
        <v>253</v>
      </c>
      <c r="B66" s="87" t="s">
        <v>159</v>
      </c>
      <c r="C66" s="86" t="s">
        <v>252</v>
      </c>
      <c r="D66" s="88" t="s">
        <v>161</v>
      </c>
      <c r="E66" s="88" t="s">
        <v>74</v>
      </c>
      <c r="F66" s="88" t="s">
        <v>12</v>
      </c>
      <c r="G66" s="86" t="n">
        <v>998</v>
      </c>
      <c r="H66" s="86" t="n">
        <v>0</v>
      </c>
      <c r="I66" s="88" t="s">
        <v>77</v>
      </c>
    </row>
    <row r="67" customFormat="false" ht="13.8" hidden="false" customHeight="false" outlineLevel="0" collapsed="false">
      <c r="A67" s="86" t="s">
        <v>254</v>
      </c>
      <c r="B67" s="87" t="s">
        <v>159</v>
      </c>
      <c r="C67" s="86" t="s">
        <v>252</v>
      </c>
      <c r="D67" s="88" t="s">
        <v>161</v>
      </c>
      <c r="E67" s="88" t="s">
        <v>74</v>
      </c>
      <c r="F67" s="88" t="s">
        <v>12</v>
      </c>
      <c r="G67" s="86" t="n">
        <v>4652</v>
      </c>
      <c r="H67" s="86" t="n">
        <v>55.76</v>
      </c>
      <c r="I67" s="88" t="s">
        <v>77</v>
      </c>
    </row>
    <row r="68" customFormat="false" ht="13.8" hidden="false" customHeight="false" outlineLevel="0" collapsed="false">
      <c r="A68" s="86" t="s">
        <v>255</v>
      </c>
      <c r="B68" s="87" t="s">
        <v>159</v>
      </c>
      <c r="C68" s="86" t="s">
        <v>252</v>
      </c>
      <c r="D68" s="88" t="s">
        <v>161</v>
      </c>
      <c r="E68" s="88" t="s">
        <v>74</v>
      </c>
      <c r="F68" s="88" t="s">
        <v>12</v>
      </c>
      <c r="G68" s="86" t="n">
        <v>889</v>
      </c>
      <c r="H68" s="86" t="n">
        <v>97.19</v>
      </c>
      <c r="I68" s="88" t="s">
        <v>77</v>
      </c>
    </row>
    <row r="69" customFormat="false" ht="13.8" hidden="false" customHeight="false" outlineLevel="0" collapsed="false">
      <c r="A69" s="86" t="s">
        <v>256</v>
      </c>
      <c r="B69" s="87" t="s">
        <v>159</v>
      </c>
      <c r="C69" s="86" t="s">
        <v>252</v>
      </c>
      <c r="D69" s="88" t="s">
        <v>161</v>
      </c>
      <c r="E69" s="88" t="s">
        <v>74</v>
      </c>
      <c r="F69" s="88" t="s">
        <v>12</v>
      </c>
      <c r="G69" s="86" t="n">
        <v>28684</v>
      </c>
      <c r="H69" s="86" t="n">
        <v>0</v>
      </c>
      <c r="I69" s="88" t="s">
        <v>77</v>
      </c>
    </row>
    <row r="70" customFormat="false" ht="13.8" hidden="false" customHeight="false" outlineLevel="0" collapsed="false">
      <c r="A70" s="86" t="s">
        <v>257</v>
      </c>
      <c r="B70" s="87" t="s">
        <v>159</v>
      </c>
      <c r="C70" s="86" t="s">
        <v>252</v>
      </c>
      <c r="D70" s="88" t="s">
        <v>161</v>
      </c>
      <c r="E70" s="88" t="s">
        <v>74</v>
      </c>
      <c r="F70" s="88" t="s">
        <v>12</v>
      </c>
      <c r="G70" s="86" t="n">
        <v>5838</v>
      </c>
      <c r="H70" s="86" t="n">
        <v>0</v>
      </c>
      <c r="I70" s="88" t="s">
        <v>77</v>
      </c>
    </row>
    <row r="71" customFormat="false" ht="13.8" hidden="false" customHeight="false" outlineLevel="0" collapsed="false">
      <c r="A71" s="86" t="s">
        <v>258</v>
      </c>
      <c r="B71" s="87" t="s">
        <v>159</v>
      </c>
      <c r="C71" s="86" t="s">
        <v>259</v>
      </c>
      <c r="D71" s="88" t="s">
        <v>161</v>
      </c>
      <c r="E71" s="88" t="s">
        <v>74</v>
      </c>
      <c r="F71" s="88" t="s">
        <v>12</v>
      </c>
      <c r="G71" s="86" t="n">
        <v>84444</v>
      </c>
      <c r="H71" s="86" t="n">
        <v>1.59</v>
      </c>
      <c r="I71" s="88" t="s">
        <v>77</v>
      </c>
    </row>
    <row r="72" customFormat="false" ht="13.8" hidden="false" customHeight="false" outlineLevel="0" collapsed="false">
      <c r="A72" s="71" t="s">
        <v>260</v>
      </c>
      <c r="B72" s="71"/>
      <c r="C72" s="70"/>
      <c r="D72" s="70"/>
      <c r="E72" s="70"/>
      <c r="F72" s="70" t="s">
        <v>261</v>
      </c>
      <c r="G72" s="70" t="n">
        <f aca="false">SUM(G7:G71)</f>
        <v>1077297</v>
      </c>
      <c r="H72" s="70"/>
    </row>
    <row r="73" customFormat="false" ht="13.8" hidden="false" customHeight="false" outlineLevel="0" collapsed="false">
      <c r="A73" s="71" t="s">
        <v>159</v>
      </c>
      <c r="C73" s="70"/>
      <c r="D73" s="70"/>
      <c r="E73" s="70"/>
      <c r="F73" s="70"/>
      <c r="G73" s="70"/>
      <c r="H73" s="70"/>
    </row>
    <row r="74" customFormat="false" ht="13.8" hidden="false" customHeight="false" outlineLevel="0" collapsed="false">
      <c r="A74" s="71" t="s">
        <v>163</v>
      </c>
      <c r="C74" s="70"/>
      <c r="D74" s="70"/>
      <c r="E74" s="70"/>
      <c r="F74" s="70"/>
      <c r="G74" s="70"/>
      <c r="H74" s="70"/>
    </row>
    <row r="75" customFormat="false" ht="13.8" hidden="false" customHeight="false" outlineLevel="0" collapsed="false">
      <c r="A75" s="71" t="s">
        <v>189</v>
      </c>
      <c r="C75" s="70"/>
      <c r="D75" s="70"/>
      <c r="E75" s="70"/>
      <c r="F75" s="70"/>
      <c r="G75" s="70"/>
      <c r="H75" s="70"/>
    </row>
    <row r="76" customFormat="false" ht="13.8" hidden="false" customHeight="false" outlineLevel="0" collapsed="false">
      <c r="A76" s="71" t="s">
        <v>171</v>
      </c>
      <c r="C76" s="70"/>
      <c r="D76" s="70"/>
      <c r="E76" s="70"/>
      <c r="F76" s="70"/>
      <c r="G76" s="70"/>
      <c r="H76" s="70"/>
    </row>
    <row r="77" customFormat="false" ht="13.8" hidden="false" customHeight="false" outlineLevel="0" collapsed="false">
      <c r="A77" s="71" t="s">
        <v>262</v>
      </c>
      <c r="C77" s="70"/>
      <c r="D77" s="70"/>
      <c r="E77" s="70"/>
      <c r="F77" s="70"/>
      <c r="G77" s="70"/>
      <c r="H77" s="70"/>
    </row>
    <row r="78" customFormat="false" ht="13.8" hidden="false" customHeight="false" outlineLevel="0" collapsed="false">
      <c r="A78" s="71" t="s">
        <v>263</v>
      </c>
    </row>
    <row r="81" customFormat="false" ht="13.8" hidden="false" customHeight="false" outlineLevel="0" collapsed="false">
      <c r="A81" s="50" t="s">
        <v>84</v>
      </c>
      <c r="B81" s="51"/>
      <c r="C81" s="52"/>
    </row>
    <row r="82" customFormat="false" ht="47.65" hidden="false" customHeight="false" outlineLevel="0" collapsed="false">
      <c r="A82" s="89" t="s">
        <v>264</v>
      </c>
      <c r="B82" s="53" t="s">
        <v>265</v>
      </c>
      <c r="C82" s="1"/>
    </row>
  </sheetData>
  <printOptions headings="false" gridLines="false" gridLinesSet="true" horizontalCentered="false" verticalCentered="false"/>
  <pageMargins left="0.7" right="0.7" top="0.75" bottom="0.75" header="0.511805555555555" footer="0.511805555555555"/>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9" activeCellId="0" sqref="F9"/>
    </sheetView>
  </sheetViews>
  <sheetFormatPr defaultColWidth="9.14453125" defaultRowHeight="13.8" zeroHeight="false" outlineLevelRow="0" outlineLevelCol="0"/>
  <cols>
    <col collapsed="false" customWidth="true" hidden="false" outlineLevel="0" max="1" min="1" style="72" width="24.85"/>
    <col collapsed="false" customWidth="true" hidden="false" outlineLevel="0" max="2" min="2" style="72" width="37.58"/>
    <col collapsed="false" customWidth="true" hidden="false" outlineLevel="0" max="3" min="3" style="72" width="19.28"/>
    <col collapsed="false" customWidth="true" hidden="false" outlineLevel="0" max="4" min="4" style="72" width="25.28"/>
    <col collapsed="false" customWidth="true" hidden="false" outlineLevel="0" max="5" min="5" style="72" width="31.14"/>
    <col collapsed="false" customWidth="true" hidden="false" outlineLevel="0" max="6" min="6" style="72" width="23.72"/>
    <col collapsed="false" customWidth="false" hidden="false" outlineLevel="0" max="1021" min="7" style="72" width="9.14"/>
  </cols>
  <sheetData>
    <row r="1" customFormat="false" ht="15" hidden="false" customHeight="false" outlineLevel="0" collapsed="false">
      <c r="A1" s="90" t="s">
        <v>266</v>
      </c>
    </row>
    <row r="2" s="1" customFormat="true" ht="13.8" hidden="false" customHeight="false" outlineLevel="0" collapsed="false">
      <c r="A2" s="16" t="s">
        <v>267</v>
      </c>
      <c r="AMH2" s="0"/>
      <c r="AMI2" s="0"/>
      <c r="AMJ2" s="0"/>
    </row>
    <row r="3" s="1" customFormat="true" ht="13.8" hidden="false" customHeight="false" outlineLevel="0" collapsed="false">
      <c r="A3" s="16" t="s">
        <v>268</v>
      </c>
      <c r="AMH3" s="0"/>
      <c r="AMI3" s="0"/>
      <c r="AMJ3" s="0"/>
    </row>
    <row r="4" s="1" customFormat="true" ht="13.8" hidden="false" customHeight="false" outlineLevel="0" collapsed="false">
      <c r="A4" s="16" t="s">
        <v>269</v>
      </c>
      <c r="AMH4" s="0"/>
      <c r="AMI4" s="0"/>
      <c r="AMJ4" s="0"/>
    </row>
    <row r="5" customFormat="false" ht="13.8" hidden="false" customHeight="false" outlineLevel="0" collapsed="false">
      <c r="A5" s="19" t="s">
        <v>9</v>
      </c>
      <c r="B5" s="19" t="s">
        <v>10</v>
      </c>
      <c r="C5" s="59"/>
      <c r="D5" s="59"/>
    </row>
    <row r="6" customFormat="false" ht="13.8" hidden="false" customHeight="false" outlineLevel="0" collapsed="false">
      <c r="A6" s="60" t="n">
        <v>44378</v>
      </c>
      <c r="B6" s="91" t="s">
        <v>12</v>
      </c>
      <c r="C6" s="59"/>
      <c r="D6" s="59"/>
    </row>
    <row r="7" customFormat="false" ht="44.25" hidden="false" customHeight="true" outlineLevel="0" collapsed="false">
      <c r="B7" s="30" t="s">
        <v>270</v>
      </c>
      <c r="C7" s="30"/>
      <c r="D7" s="30"/>
    </row>
    <row r="8" customFormat="false" ht="82.55" hidden="false" customHeight="false" outlineLevel="0" collapsed="false">
      <c r="A8" s="24" t="s">
        <v>271</v>
      </c>
      <c r="B8" s="31" t="s">
        <v>272</v>
      </c>
      <c r="C8" s="31" t="s">
        <v>273</v>
      </c>
      <c r="D8" s="31" t="s">
        <v>274</v>
      </c>
      <c r="E8" s="92" t="s">
        <v>275</v>
      </c>
      <c r="F8" s="93" t="s">
        <v>276</v>
      </c>
      <c r="G8" s="94" t="s">
        <v>277</v>
      </c>
    </row>
    <row r="9" customFormat="false" ht="39.5" hidden="false" customHeight="false" outlineLevel="0" collapsed="false">
      <c r="A9" s="95" t="s">
        <v>278</v>
      </c>
      <c r="B9" s="96" t="s">
        <v>279</v>
      </c>
      <c r="C9" s="97"/>
      <c r="D9" s="97"/>
      <c r="E9" s="97"/>
      <c r="F9" s="97"/>
      <c r="G9" s="76" t="s">
        <v>280</v>
      </c>
    </row>
    <row r="10" customFormat="false" ht="78.45" hidden="false" customHeight="false" outlineLevel="0" collapsed="false">
      <c r="A10" s="95" t="s">
        <v>281</v>
      </c>
      <c r="B10" s="76"/>
      <c r="C10" s="97"/>
      <c r="D10" s="97"/>
      <c r="E10" s="98" t="s">
        <v>282</v>
      </c>
      <c r="F10" s="98" t="s">
        <v>283</v>
      </c>
      <c r="G10" s="76" t="s">
        <v>280</v>
      </c>
    </row>
    <row r="11" customFormat="false" ht="140.65" hidden="false" customHeight="false" outlineLevel="0" collapsed="false">
      <c r="A11" s="95" t="s">
        <v>284</v>
      </c>
      <c r="B11" s="76" t="s">
        <v>285</v>
      </c>
      <c r="C11" s="97" t="s">
        <v>286</v>
      </c>
      <c r="D11" s="97"/>
      <c r="E11" s="97"/>
      <c r="F11" s="98" t="s">
        <v>283</v>
      </c>
      <c r="G11" s="76" t="s">
        <v>280</v>
      </c>
    </row>
    <row r="13" customFormat="false" ht="13.8" hidden="false" customHeight="false" outlineLevel="0" collapsed="false">
      <c r="A13" s="50" t="s">
        <v>84</v>
      </c>
    </row>
    <row r="14" customFormat="false" ht="24.4" hidden="false" customHeight="false" outlineLevel="0" collapsed="false">
      <c r="A14" s="53" t="s">
        <v>287</v>
      </c>
      <c r="B14" s="72" t="s">
        <v>288</v>
      </c>
    </row>
    <row r="20" customFormat="false" ht="13.8" hidden="false" customHeight="false" outlineLevel="0" collapsed="false">
      <c r="A20" s="13"/>
    </row>
    <row r="21" customFormat="false" ht="13.8" hidden="false" customHeight="false" outlineLevel="0" collapsed="false">
      <c r="A21" s="13"/>
    </row>
  </sheetData>
  <mergeCells count="1">
    <mergeCell ref="B7:D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F1048576"/>
  <sheetViews>
    <sheetView showFormulas="false" showGridLines="true" showRowColHeaders="true" showZeros="true" rightToLeft="false" tabSelected="false" showOutlineSymbols="true" defaultGridColor="true" view="normal" topLeftCell="A371" colorId="64" zoomScale="100" zoomScaleNormal="100" zoomScalePageLayoutView="100" workbookViewId="0">
      <selection pane="topLeft" activeCell="A382" activeCellId="0" sqref="A382"/>
    </sheetView>
  </sheetViews>
  <sheetFormatPr defaultColWidth="9.14453125" defaultRowHeight="13.8" zeroHeight="false" outlineLevelRow="0" outlineLevelCol="0"/>
  <cols>
    <col collapsed="false" customWidth="true" hidden="false" outlineLevel="0" max="1" min="1" style="72" width="32.57"/>
    <col collapsed="false" customWidth="true" hidden="false" outlineLevel="0" max="2" min="2" style="99" width="26.15"/>
    <col collapsed="false" customWidth="true" hidden="false" outlineLevel="0" max="3" min="3" style="72" width="25.28"/>
    <col collapsed="false" customWidth="true" hidden="false" outlineLevel="0" max="5" min="4" style="72" width="24.85"/>
    <col collapsed="false" customWidth="false" hidden="false" outlineLevel="0" max="1019" min="6" style="72" width="9.14"/>
    <col collapsed="false" customWidth="true" hidden="false" outlineLevel="0" max="1024" min="1020" style="0" width="11.57"/>
  </cols>
  <sheetData>
    <row r="1" customFormat="false" ht="15" hidden="false" customHeight="false" outlineLevel="0" collapsed="false">
      <c r="A1" s="90" t="s">
        <v>289</v>
      </c>
    </row>
    <row r="2" customFormat="false" ht="13.8" hidden="false" customHeight="false" outlineLevel="0" collapsed="false">
      <c r="A2" s="16" t="s">
        <v>290</v>
      </c>
    </row>
    <row r="3" s="1" customFormat="true" ht="13.8" hidden="false" customHeight="false" outlineLevel="0" collapsed="false">
      <c r="A3" s="16" t="s">
        <v>291</v>
      </c>
      <c r="B3" s="100"/>
    </row>
    <row r="4" customFormat="false" ht="15" hidden="false" customHeight="true" outlineLevel="0" collapsed="false">
      <c r="A4" s="19" t="s">
        <v>9</v>
      </c>
      <c r="B4" s="101" t="s">
        <v>10</v>
      </c>
    </row>
    <row r="5" customFormat="false" ht="20.45" hidden="false" customHeight="true" outlineLevel="0" collapsed="false">
      <c r="A5" s="60" t="n">
        <v>44378</v>
      </c>
      <c r="B5" s="61" t="s">
        <v>12</v>
      </c>
    </row>
    <row r="6" customFormat="false" ht="24.4" hidden="false" customHeight="false" outlineLevel="0" collapsed="false">
      <c r="A6" s="102" t="s">
        <v>292</v>
      </c>
      <c r="B6" s="103" t="s">
        <v>293</v>
      </c>
      <c r="C6" s="31" t="s">
        <v>294</v>
      </c>
      <c r="D6" s="31" t="s">
        <v>295</v>
      </c>
      <c r="E6" s="31" t="s">
        <v>296</v>
      </c>
    </row>
    <row r="7" customFormat="false" ht="13.8" hidden="false" customHeight="false" outlineLevel="0" collapsed="false">
      <c r="A7" s="104" t="s">
        <v>297</v>
      </c>
      <c r="B7" s="61" t="s">
        <v>298</v>
      </c>
      <c r="C7" s="76" t="n">
        <v>27</v>
      </c>
      <c r="D7" s="76" t="n">
        <v>27</v>
      </c>
      <c r="E7" s="76" t="n">
        <v>169</v>
      </c>
    </row>
    <row r="8" customFormat="false" ht="13.8" hidden="false" customHeight="false" outlineLevel="0" collapsed="false">
      <c r="A8" s="104"/>
      <c r="B8" s="61"/>
      <c r="C8" s="76"/>
      <c r="D8" s="76"/>
    </row>
    <row r="9" customFormat="false" ht="24.4" hidden="false" customHeight="false" outlineLevel="0" collapsed="false">
      <c r="A9" s="105" t="s">
        <v>299</v>
      </c>
      <c r="B9" s="103" t="s">
        <v>300</v>
      </c>
      <c r="C9" s="31" t="s">
        <v>301</v>
      </c>
      <c r="D9" s="31"/>
    </row>
    <row r="10" customFormat="false" ht="13.8" hidden="false" customHeight="false" outlineLevel="0" collapsed="false">
      <c r="A10" s="106" t="s">
        <v>159</v>
      </c>
      <c r="B10" s="107" t="n">
        <v>77.8</v>
      </c>
      <c r="C10" s="107" t="s">
        <v>302</v>
      </c>
      <c r="D10" s="107"/>
    </row>
    <row r="11" customFormat="false" ht="13.8" hidden="false" customHeight="false" outlineLevel="0" collapsed="false">
      <c r="A11" s="106" t="s">
        <v>163</v>
      </c>
      <c r="B11" s="107" t="n">
        <v>14.8</v>
      </c>
      <c r="C11" s="107" t="s">
        <v>303</v>
      </c>
      <c r="D11" s="107"/>
    </row>
    <row r="12" customFormat="false" ht="13.8" hidden="false" customHeight="false" outlineLevel="0" collapsed="false">
      <c r="A12" s="106" t="s">
        <v>189</v>
      </c>
      <c r="B12" s="107" t="n">
        <v>3.7</v>
      </c>
      <c r="C12" s="107" t="s">
        <v>303</v>
      </c>
      <c r="D12" s="107"/>
    </row>
    <row r="13" customFormat="false" ht="13.8" hidden="false" customHeight="false" outlineLevel="0" collapsed="false">
      <c r="A13" s="106" t="s">
        <v>171</v>
      </c>
      <c r="B13" s="107"/>
      <c r="C13" s="107"/>
      <c r="D13" s="107"/>
    </row>
    <row r="14" customFormat="false" ht="13.8" hidden="false" customHeight="false" outlineLevel="0" collapsed="false">
      <c r="A14" s="106" t="s">
        <v>262</v>
      </c>
      <c r="B14" s="107" t="n">
        <v>3.7</v>
      </c>
      <c r="C14" s="107" t="s">
        <v>302</v>
      </c>
      <c r="D14" s="107"/>
    </row>
    <row r="15" customFormat="false" ht="13.8" hidden="false" customHeight="false" outlineLevel="0" collapsed="false">
      <c r="A15" s="106"/>
      <c r="B15" s="108"/>
      <c r="C15" s="107"/>
      <c r="D15" s="107"/>
    </row>
    <row r="16" customFormat="false" ht="13.8" hidden="false" customHeight="false" outlineLevel="0" collapsed="false">
      <c r="A16" s="106"/>
      <c r="B16" s="108"/>
      <c r="C16" s="107"/>
      <c r="D16" s="107"/>
    </row>
    <row r="17" customFormat="false" ht="13.8" hidden="false" customHeight="false" outlineLevel="0" collapsed="false">
      <c r="A17" s="106"/>
      <c r="B17" s="108"/>
      <c r="C17" s="107"/>
      <c r="D17" s="107"/>
    </row>
    <row r="18" customFormat="false" ht="13.8" hidden="false" customHeight="false" outlineLevel="0" collapsed="false">
      <c r="A18" s="106"/>
      <c r="B18" s="108"/>
      <c r="C18" s="107"/>
      <c r="D18" s="107"/>
    </row>
    <row r="19" customFormat="false" ht="13.8" hidden="false" customHeight="false" outlineLevel="0" collapsed="false">
      <c r="A19" s="105" t="s">
        <v>304</v>
      </c>
      <c r="B19" s="103" t="s">
        <v>305</v>
      </c>
      <c r="C19" s="107"/>
      <c r="D19" s="107"/>
    </row>
    <row r="20" customFormat="false" ht="13.8" hidden="false" customHeight="false" outlineLevel="0" collapsed="false">
      <c r="A20" s="64" t="s">
        <v>306</v>
      </c>
      <c r="B20" s="109"/>
      <c r="C20" s="76"/>
      <c r="D20" s="76"/>
    </row>
    <row r="21" customFormat="false" ht="13.8" hidden="false" customHeight="false" outlineLevel="0" collapsed="false">
      <c r="A21" s="64" t="s">
        <v>307</v>
      </c>
      <c r="B21" s="109"/>
      <c r="C21" s="76"/>
      <c r="D21" s="76"/>
    </row>
    <row r="22" customFormat="false" ht="13.8" hidden="false" customHeight="false" outlineLevel="0" collapsed="false">
      <c r="A22" s="64" t="s">
        <v>308</v>
      </c>
      <c r="B22" s="109"/>
      <c r="C22" s="76"/>
      <c r="D22" s="76"/>
    </row>
    <row r="23" customFormat="false" ht="13.8" hidden="false" customHeight="false" outlineLevel="0" collapsed="false">
      <c r="A23" s="64" t="s">
        <v>309</v>
      </c>
      <c r="B23" s="109"/>
      <c r="C23" s="76"/>
      <c r="D23" s="76"/>
    </row>
    <row r="24" customFormat="false" ht="13.8" hidden="false" customHeight="false" outlineLevel="0" collapsed="false">
      <c r="A24" s="64" t="s">
        <v>310</v>
      </c>
      <c r="B24" s="109"/>
      <c r="C24" s="76"/>
      <c r="D24" s="76"/>
    </row>
    <row r="25" customFormat="false" ht="13.8" hidden="false" customHeight="false" outlineLevel="0" collapsed="false">
      <c r="A25" s="64" t="s">
        <v>311</v>
      </c>
      <c r="B25" s="109"/>
      <c r="C25" s="76"/>
      <c r="D25" s="76"/>
    </row>
    <row r="26" customFormat="false" ht="13.8" hidden="false" customHeight="false" outlineLevel="0" collapsed="false">
      <c r="A26" s="64" t="s">
        <v>160</v>
      </c>
      <c r="B26" s="109" t="n">
        <v>3.7</v>
      </c>
      <c r="C26" s="76"/>
      <c r="D26" s="76"/>
    </row>
    <row r="27" customFormat="false" ht="13.8" hidden="false" customHeight="false" outlineLevel="0" collapsed="false">
      <c r="A27" s="64" t="s">
        <v>312</v>
      </c>
      <c r="B27" s="109"/>
      <c r="C27" s="76"/>
      <c r="D27" s="76"/>
    </row>
    <row r="28" customFormat="false" ht="13.8" hidden="false" customHeight="false" outlineLevel="0" collapsed="false">
      <c r="A28" s="64" t="s">
        <v>165</v>
      </c>
      <c r="B28" s="109"/>
      <c r="C28" s="76"/>
      <c r="D28" s="76"/>
    </row>
    <row r="29" customFormat="false" ht="13.8" hidden="false" customHeight="false" outlineLevel="0" collapsed="false">
      <c r="A29" s="64" t="s">
        <v>169</v>
      </c>
      <c r="B29" s="109"/>
      <c r="C29" s="76"/>
      <c r="D29" s="76"/>
    </row>
    <row r="30" customFormat="false" ht="13.8" hidden="false" customHeight="false" outlineLevel="0" collapsed="false">
      <c r="A30" s="64" t="s">
        <v>172</v>
      </c>
      <c r="B30" s="109"/>
      <c r="C30" s="76"/>
      <c r="D30" s="76"/>
    </row>
    <row r="31" customFormat="false" ht="13.8" hidden="false" customHeight="false" outlineLevel="0" collapsed="false">
      <c r="A31" s="64" t="s">
        <v>313</v>
      </c>
      <c r="B31" s="109"/>
      <c r="C31" s="76"/>
      <c r="D31" s="76"/>
    </row>
    <row r="32" customFormat="false" ht="13.8" hidden="false" customHeight="false" outlineLevel="0" collapsed="false">
      <c r="A32" s="64" t="s">
        <v>174</v>
      </c>
      <c r="B32" s="109"/>
      <c r="C32" s="76"/>
      <c r="D32" s="76"/>
    </row>
    <row r="33" customFormat="false" ht="13.8" hidden="false" customHeight="false" outlineLevel="0" collapsed="false">
      <c r="A33" s="64" t="s">
        <v>177</v>
      </c>
      <c r="B33" s="109"/>
      <c r="C33" s="76"/>
      <c r="D33" s="76"/>
    </row>
    <row r="34" customFormat="false" ht="13.8" hidden="false" customHeight="false" outlineLevel="0" collapsed="false">
      <c r="A34" s="64" t="s">
        <v>180</v>
      </c>
      <c r="B34" s="109" t="n">
        <v>3.7</v>
      </c>
      <c r="C34" s="76"/>
      <c r="D34" s="76"/>
    </row>
    <row r="35" customFormat="false" ht="13.8" hidden="false" customHeight="false" outlineLevel="0" collapsed="false">
      <c r="A35" s="64" t="s">
        <v>183</v>
      </c>
      <c r="B35" s="109" t="n">
        <v>3.7</v>
      </c>
      <c r="C35" s="76"/>
      <c r="D35" s="76"/>
    </row>
    <row r="36" customFormat="false" ht="13.8" hidden="false" customHeight="false" outlineLevel="0" collapsed="false">
      <c r="A36" s="64" t="s">
        <v>186</v>
      </c>
      <c r="B36" s="109"/>
      <c r="C36" s="76"/>
      <c r="D36" s="76"/>
    </row>
    <row r="37" customFormat="false" ht="13.8" hidden="false" customHeight="false" outlineLevel="0" collapsed="false">
      <c r="A37" s="64" t="s">
        <v>191</v>
      </c>
      <c r="B37" s="109" t="n">
        <v>7.4</v>
      </c>
      <c r="C37" s="76"/>
      <c r="D37" s="76"/>
    </row>
    <row r="38" customFormat="false" ht="13.8" hidden="false" customHeight="false" outlineLevel="0" collapsed="false">
      <c r="A38" s="64" t="s">
        <v>194</v>
      </c>
      <c r="B38" s="109" t="n">
        <v>11.1</v>
      </c>
      <c r="C38" s="76"/>
      <c r="D38" s="76"/>
    </row>
    <row r="39" customFormat="false" ht="13.8" hidden="false" customHeight="false" outlineLevel="0" collapsed="false">
      <c r="A39" s="64" t="s">
        <v>314</v>
      </c>
      <c r="B39" s="109"/>
      <c r="C39" s="76"/>
      <c r="D39" s="76"/>
    </row>
    <row r="40" customFormat="false" ht="13.8" hidden="false" customHeight="false" outlineLevel="0" collapsed="false">
      <c r="A40" s="64" t="s">
        <v>315</v>
      </c>
      <c r="B40" s="109"/>
      <c r="C40" s="76"/>
      <c r="D40" s="76"/>
    </row>
    <row r="41" customFormat="false" ht="13.8" hidden="false" customHeight="false" outlineLevel="0" collapsed="false">
      <c r="A41" s="64" t="s">
        <v>196</v>
      </c>
      <c r="B41" s="109"/>
      <c r="C41" s="76"/>
      <c r="D41" s="76"/>
    </row>
    <row r="42" customFormat="false" ht="13.8" hidden="false" customHeight="false" outlineLevel="0" collapsed="false">
      <c r="A42" s="64" t="s">
        <v>200</v>
      </c>
      <c r="B42" s="109" t="n">
        <f aca="false">7*3.7</f>
        <v>25.9</v>
      </c>
      <c r="C42" s="76"/>
      <c r="D42" s="76"/>
    </row>
    <row r="43" customFormat="false" ht="13.8" hidden="false" customHeight="false" outlineLevel="0" collapsed="false">
      <c r="A43" s="64" t="s">
        <v>208</v>
      </c>
      <c r="B43" s="109"/>
      <c r="C43" s="76"/>
      <c r="D43" s="76"/>
    </row>
    <row r="44" customFormat="false" ht="13.8" hidden="false" customHeight="false" outlineLevel="0" collapsed="false">
      <c r="A44" s="64" t="s">
        <v>316</v>
      </c>
      <c r="B44" s="109"/>
      <c r="C44" s="76"/>
      <c r="D44" s="76"/>
    </row>
    <row r="45" customFormat="false" ht="13.8" hidden="false" customHeight="false" outlineLevel="0" collapsed="false">
      <c r="A45" s="64" t="s">
        <v>211</v>
      </c>
      <c r="B45" s="109"/>
      <c r="C45" s="76"/>
      <c r="D45" s="76"/>
    </row>
    <row r="46" customFormat="false" ht="13.8" hidden="false" customHeight="false" outlineLevel="0" collapsed="false">
      <c r="A46" s="64" t="s">
        <v>317</v>
      </c>
      <c r="B46" s="109"/>
      <c r="C46" s="76"/>
      <c r="D46" s="76"/>
    </row>
    <row r="47" customFormat="false" ht="13.8" hidden="false" customHeight="false" outlineLevel="0" collapsed="false">
      <c r="A47" s="64" t="s">
        <v>213</v>
      </c>
      <c r="B47" s="109"/>
      <c r="C47" s="76"/>
      <c r="D47" s="76"/>
    </row>
    <row r="48" customFormat="false" ht="13.8" hidden="false" customHeight="false" outlineLevel="0" collapsed="false">
      <c r="A48" s="64" t="s">
        <v>318</v>
      </c>
      <c r="B48" s="109"/>
      <c r="C48" s="76"/>
      <c r="D48" s="76"/>
    </row>
    <row r="49" customFormat="false" ht="13.8" hidden="false" customHeight="false" outlineLevel="0" collapsed="false">
      <c r="A49" s="64" t="s">
        <v>319</v>
      </c>
      <c r="B49" s="109"/>
      <c r="C49" s="76"/>
      <c r="D49" s="76"/>
    </row>
    <row r="50" customFormat="false" ht="13.8" hidden="false" customHeight="false" outlineLevel="0" collapsed="false">
      <c r="A50" s="64" t="s">
        <v>215</v>
      </c>
      <c r="B50" s="109" t="n">
        <v>3.7</v>
      </c>
      <c r="C50" s="76"/>
      <c r="D50" s="76"/>
    </row>
    <row r="51" customFormat="false" ht="13.8" hidden="false" customHeight="false" outlineLevel="0" collapsed="false">
      <c r="A51" s="64" t="s">
        <v>219</v>
      </c>
      <c r="B51" s="109" t="n">
        <v>7.4</v>
      </c>
      <c r="C51" s="76"/>
      <c r="D51" s="76"/>
    </row>
    <row r="52" customFormat="false" ht="13.8" hidden="false" customHeight="false" outlineLevel="0" collapsed="false">
      <c r="A52" s="64" t="s">
        <v>320</v>
      </c>
      <c r="B52" s="109"/>
      <c r="C52" s="76"/>
      <c r="D52" s="76"/>
    </row>
    <row r="53" customFormat="false" ht="13.8" hidden="false" customHeight="false" outlineLevel="0" collapsed="false">
      <c r="A53" s="64" t="s">
        <v>222</v>
      </c>
      <c r="B53" s="109" t="n">
        <v>3.7</v>
      </c>
      <c r="C53" s="76"/>
      <c r="D53" s="76"/>
    </row>
    <row r="54" customFormat="false" ht="13.8" hidden="false" customHeight="false" outlineLevel="0" collapsed="false">
      <c r="A54" s="64" t="s">
        <v>224</v>
      </c>
      <c r="B54" s="109"/>
      <c r="C54" s="76"/>
      <c r="D54" s="76"/>
    </row>
    <row r="55" customFormat="false" ht="13.8" hidden="false" customHeight="false" outlineLevel="0" collapsed="false">
      <c r="A55" s="64" t="s">
        <v>227</v>
      </c>
      <c r="B55" s="109" t="n">
        <v>7.4</v>
      </c>
      <c r="C55" s="76"/>
      <c r="D55" s="76"/>
    </row>
    <row r="56" customFormat="false" ht="13.8" hidden="false" customHeight="false" outlineLevel="0" collapsed="false">
      <c r="A56" s="64" t="s">
        <v>230</v>
      </c>
      <c r="B56" s="109"/>
      <c r="C56" s="76"/>
      <c r="D56" s="76"/>
    </row>
    <row r="57" customFormat="false" ht="13.8" hidden="false" customHeight="false" outlineLevel="0" collapsed="false">
      <c r="A57" s="64" t="s">
        <v>321</v>
      </c>
      <c r="B57" s="109"/>
      <c r="C57" s="76"/>
      <c r="D57" s="76"/>
    </row>
    <row r="58" customFormat="false" ht="13.8" hidden="false" customHeight="false" outlineLevel="0" collapsed="false">
      <c r="A58" s="64" t="s">
        <v>322</v>
      </c>
      <c r="B58" s="109"/>
      <c r="C58" s="76"/>
      <c r="D58" s="76"/>
    </row>
    <row r="59" customFormat="false" ht="13.8" hidden="false" customHeight="false" outlineLevel="0" collapsed="false">
      <c r="A59" s="64" t="s">
        <v>323</v>
      </c>
      <c r="B59" s="109"/>
      <c r="C59" s="76"/>
      <c r="D59" s="76"/>
    </row>
    <row r="60" customFormat="false" ht="13.8" hidden="false" customHeight="false" outlineLevel="0" collapsed="false">
      <c r="A60" s="64" t="s">
        <v>324</v>
      </c>
      <c r="B60" s="109"/>
      <c r="C60" s="76"/>
      <c r="D60" s="76"/>
    </row>
    <row r="61" customFormat="false" ht="13.8" hidden="false" customHeight="false" outlineLevel="0" collapsed="false">
      <c r="A61" s="64" t="s">
        <v>237</v>
      </c>
      <c r="B61" s="109"/>
      <c r="C61" s="76"/>
      <c r="D61" s="76"/>
    </row>
    <row r="62" customFormat="false" ht="13.8" hidden="false" customHeight="false" outlineLevel="0" collapsed="false">
      <c r="A62" s="64" t="s">
        <v>239</v>
      </c>
      <c r="B62" s="109" t="n">
        <v>3.7</v>
      </c>
      <c r="C62" s="76"/>
      <c r="D62" s="76"/>
    </row>
    <row r="63" customFormat="false" ht="13.8" hidden="false" customHeight="false" outlineLevel="0" collapsed="false">
      <c r="A63" s="64" t="s">
        <v>241</v>
      </c>
      <c r="B63" s="109"/>
      <c r="C63" s="76"/>
      <c r="D63" s="76"/>
    </row>
    <row r="64" customFormat="false" ht="13.8" hidden="false" customHeight="false" outlineLevel="0" collapsed="false">
      <c r="A64" s="64" t="s">
        <v>325</v>
      </c>
      <c r="B64" s="109"/>
      <c r="C64" s="76"/>
      <c r="D64" s="76"/>
    </row>
    <row r="65" customFormat="false" ht="13.8" hidden="false" customHeight="false" outlineLevel="0" collapsed="false">
      <c r="A65" s="64" t="s">
        <v>245</v>
      </c>
      <c r="B65" s="109"/>
      <c r="C65" s="76"/>
      <c r="D65" s="76"/>
    </row>
    <row r="66" customFormat="false" ht="13.8" hidden="false" customHeight="false" outlineLevel="0" collapsed="false">
      <c r="A66" s="64" t="s">
        <v>252</v>
      </c>
      <c r="B66" s="109"/>
      <c r="C66" s="76"/>
      <c r="D66" s="76"/>
    </row>
    <row r="67" customFormat="false" ht="13.8" hidden="false" customHeight="false" outlineLevel="0" collapsed="false">
      <c r="A67" s="64" t="s">
        <v>259</v>
      </c>
      <c r="B67" s="109" t="n">
        <v>11.1</v>
      </c>
      <c r="C67" s="76"/>
      <c r="D67" s="76"/>
    </row>
    <row r="68" customFormat="false" ht="13.8" hidden="false" customHeight="false" outlineLevel="0" collapsed="false">
      <c r="A68" s="64" t="s">
        <v>326</v>
      </c>
      <c r="B68" s="109"/>
      <c r="C68" s="76"/>
      <c r="D68" s="76"/>
    </row>
    <row r="69" customFormat="false" ht="13.8" hidden="false" customHeight="false" outlineLevel="0" collapsed="false">
      <c r="A69" s="110" t="s">
        <v>327</v>
      </c>
      <c r="B69" s="109" t="n">
        <f aca="false">SUM(B20:B68)</f>
        <v>92.5</v>
      </c>
      <c r="C69" s="76"/>
      <c r="D69" s="76"/>
    </row>
    <row r="70" customFormat="false" ht="13.8" hidden="false" customHeight="false" outlineLevel="0" collapsed="false">
      <c r="A70" s="64" t="s">
        <v>328</v>
      </c>
      <c r="B70" s="109" t="n">
        <v>3.7</v>
      </c>
      <c r="C70" s="76"/>
      <c r="D70" s="76"/>
    </row>
    <row r="71" customFormat="false" ht="13.8" hidden="false" customHeight="false" outlineLevel="0" collapsed="false">
      <c r="A71" s="64" t="s">
        <v>329</v>
      </c>
      <c r="B71" s="109"/>
      <c r="C71" s="76"/>
      <c r="D71" s="76"/>
    </row>
    <row r="72" customFormat="false" ht="13.8" hidden="false" customHeight="false" outlineLevel="0" collapsed="false">
      <c r="A72" s="64" t="s">
        <v>330</v>
      </c>
      <c r="B72" s="109"/>
      <c r="C72" s="76"/>
      <c r="D72" s="76"/>
    </row>
    <row r="73" customFormat="false" ht="13.8" hidden="false" customHeight="false" outlineLevel="0" collapsed="false">
      <c r="A73" s="64" t="s">
        <v>331</v>
      </c>
      <c r="B73" s="109"/>
      <c r="C73" s="76"/>
      <c r="D73" s="76"/>
    </row>
    <row r="74" customFormat="false" ht="13.8" hidden="false" customHeight="false" outlineLevel="0" collapsed="false">
      <c r="A74" s="64" t="s">
        <v>332</v>
      </c>
      <c r="B74" s="109"/>
      <c r="C74" s="76"/>
      <c r="D74" s="76"/>
    </row>
    <row r="75" customFormat="false" ht="13.8" hidden="false" customHeight="false" outlineLevel="0" collapsed="false">
      <c r="A75" s="64" t="s">
        <v>333</v>
      </c>
      <c r="B75" s="109" t="n">
        <v>3.7</v>
      </c>
      <c r="C75" s="76"/>
      <c r="D75" s="76"/>
    </row>
    <row r="76" customFormat="false" ht="24.4" hidden="false" customHeight="false" outlineLevel="0" collapsed="false">
      <c r="A76" s="102" t="s">
        <v>292</v>
      </c>
      <c r="B76" s="103" t="s">
        <v>293</v>
      </c>
      <c r="C76" s="31" t="s">
        <v>294</v>
      </c>
      <c r="D76" s="31" t="s">
        <v>334</v>
      </c>
    </row>
    <row r="77" customFormat="false" ht="13.8" hidden="false" customHeight="false" outlineLevel="0" collapsed="false">
      <c r="A77" s="104" t="s">
        <v>335</v>
      </c>
      <c r="B77" s="61" t="s">
        <v>336</v>
      </c>
      <c r="C77" s="76" t="n">
        <f aca="false">+D77</f>
        <v>128</v>
      </c>
      <c r="D77" s="76" t="n">
        <v>128</v>
      </c>
    </row>
    <row r="78" customFormat="false" ht="13.8" hidden="false" customHeight="false" outlineLevel="0" collapsed="false">
      <c r="A78" s="104"/>
      <c r="B78" s="61"/>
      <c r="C78" s="76"/>
      <c r="D78" s="76"/>
    </row>
    <row r="79" customFormat="false" ht="24.4" hidden="false" customHeight="false" outlineLevel="0" collapsed="false">
      <c r="A79" s="105" t="s">
        <v>299</v>
      </c>
      <c r="B79" s="103" t="s">
        <v>300</v>
      </c>
      <c r="C79" s="31" t="s">
        <v>301</v>
      </c>
      <c r="D79" s="31" t="s">
        <v>337</v>
      </c>
    </row>
    <row r="80" customFormat="false" ht="87.55" hidden="false" customHeight="false" outlineLevel="0" collapsed="false">
      <c r="A80" s="106" t="s">
        <v>159</v>
      </c>
      <c r="B80" s="109" t="n">
        <f aca="false">ROUND(D80/$C$77*100,2)</f>
        <v>89.84</v>
      </c>
      <c r="C80" s="107" t="s">
        <v>338</v>
      </c>
      <c r="D80" s="76" t="n">
        <v>115</v>
      </c>
    </row>
    <row r="81" customFormat="false" ht="13.8" hidden="false" customHeight="false" outlineLevel="0" collapsed="false">
      <c r="A81" s="106" t="s">
        <v>163</v>
      </c>
      <c r="B81" s="109" t="n">
        <f aca="false">ROUND(D81/$C$77*100,2)</f>
        <v>4.69</v>
      </c>
      <c r="C81" s="107" t="s">
        <v>339</v>
      </c>
      <c r="D81" s="76" t="n">
        <v>6</v>
      </c>
    </row>
    <row r="82" customFormat="false" ht="24.4" hidden="false" customHeight="false" outlineLevel="0" collapsed="false">
      <c r="A82" s="106" t="s">
        <v>189</v>
      </c>
      <c r="B82" s="109" t="n">
        <f aca="false">ROUND(D82/$C$77*100,2)</f>
        <v>1.56</v>
      </c>
      <c r="C82" s="107" t="s">
        <v>340</v>
      </c>
      <c r="D82" s="76" t="n">
        <v>2</v>
      </c>
    </row>
    <row r="83" customFormat="false" ht="24.4" hidden="false" customHeight="false" outlineLevel="0" collapsed="false">
      <c r="A83" s="106" t="s">
        <v>171</v>
      </c>
      <c r="B83" s="109" t="n">
        <f aca="false">ROUND(D83/$C$77*100,2)</f>
        <v>3.13</v>
      </c>
      <c r="C83" s="107" t="s">
        <v>341</v>
      </c>
      <c r="D83" s="76" t="n">
        <v>4</v>
      </c>
    </row>
    <row r="84" customFormat="false" ht="13.8" hidden="false" customHeight="false" outlineLevel="0" collapsed="false">
      <c r="A84" s="106" t="s">
        <v>342</v>
      </c>
      <c r="B84" s="109" t="n">
        <f aca="false">ROUND(D84/$C$77*100,2)</f>
        <v>0.78</v>
      </c>
      <c r="C84" s="107" t="s">
        <v>339</v>
      </c>
      <c r="D84" s="76" t="n">
        <v>1</v>
      </c>
    </row>
    <row r="85" customFormat="false" ht="13.8" hidden="false" customHeight="false" outlineLevel="0" collapsed="false">
      <c r="A85" s="106"/>
      <c r="B85" s="109"/>
      <c r="C85" s="107"/>
      <c r="D85" s="107"/>
    </row>
    <row r="86" customFormat="false" ht="13.8" hidden="false" customHeight="false" outlineLevel="0" collapsed="false">
      <c r="A86" s="106"/>
      <c r="B86" s="109"/>
      <c r="C86" s="107"/>
      <c r="D86" s="107"/>
    </row>
    <row r="87" customFormat="false" ht="13.8" hidden="false" customHeight="false" outlineLevel="0" collapsed="false">
      <c r="A87" s="106"/>
      <c r="B87" s="109"/>
      <c r="C87" s="107"/>
      <c r="D87" s="107"/>
    </row>
    <row r="88" customFormat="false" ht="13.8" hidden="false" customHeight="false" outlineLevel="0" collapsed="false">
      <c r="A88" s="106"/>
      <c r="B88" s="109"/>
      <c r="C88" s="107"/>
      <c r="D88" s="107"/>
    </row>
    <row r="89" customFormat="false" ht="13.8" hidden="false" customHeight="false" outlineLevel="0" collapsed="false">
      <c r="A89" s="105" t="s">
        <v>304</v>
      </c>
      <c r="B89" s="31" t="s">
        <v>305</v>
      </c>
      <c r="C89" s="31" t="s">
        <v>337</v>
      </c>
      <c r="D89" s="107"/>
    </row>
    <row r="90" customFormat="false" ht="13.8" hidden="false" customHeight="false" outlineLevel="0" collapsed="false">
      <c r="A90" s="64" t="s">
        <v>306</v>
      </c>
      <c r="B90" s="109"/>
      <c r="C90" s="76"/>
      <c r="D90" s="76"/>
    </row>
    <row r="91" customFormat="false" ht="13.8" hidden="false" customHeight="false" outlineLevel="0" collapsed="false">
      <c r="A91" s="64" t="s">
        <v>307</v>
      </c>
      <c r="B91" s="109"/>
      <c r="C91" s="76"/>
      <c r="D91" s="76"/>
    </row>
    <row r="92" customFormat="false" ht="13.8" hidden="false" customHeight="false" outlineLevel="0" collapsed="false">
      <c r="A92" s="64" t="s">
        <v>308</v>
      </c>
      <c r="B92" s="109"/>
      <c r="C92" s="76"/>
      <c r="D92" s="76"/>
    </row>
    <row r="93" customFormat="false" ht="13.8" hidden="false" customHeight="false" outlineLevel="0" collapsed="false">
      <c r="A93" s="64" t="s">
        <v>309</v>
      </c>
      <c r="B93" s="109"/>
      <c r="C93" s="76"/>
      <c r="D93" s="76"/>
    </row>
    <row r="94" customFormat="false" ht="13.8" hidden="false" customHeight="false" outlineLevel="0" collapsed="false">
      <c r="A94" s="64" t="s">
        <v>310</v>
      </c>
      <c r="B94" s="109"/>
      <c r="C94" s="76"/>
      <c r="D94" s="76"/>
    </row>
    <row r="95" customFormat="false" ht="13.8" hidden="false" customHeight="false" outlineLevel="0" collapsed="false">
      <c r="A95" s="64" t="s">
        <v>311</v>
      </c>
      <c r="B95" s="109"/>
      <c r="C95" s="76"/>
      <c r="D95" s="76"/>
    </row>
    <row r="96" customFormat="false" ht="13.8" hidden="false" customHeight="false" outlineLevel="0" collapsed="false">
      <c r="A96" s="64" t="s">
        <v>160</v>
      </c>
      <c r="B96" s="109" t="n">
        <f aca="false">ROUND(C96/$C$77*100,2)</f>
        <v>8.59</v>
      </c>
      <c r="C96" s="76" t="n">
        <v>11</v>
      </c>
      <c r="D96" s="76"/>
    </row>
    <row r="97" customFormat="false" ht="13.8" hidden="false" customHeight="false" outlineLevel="0" collapsed="false">
      <c r="A97" s="64" t="s">
        <v>312</v>
      </c>
      <c r="B97" s="109"/>
      <c r="C97" s="76"/>
      <c r="D97" s="76"/>
    </row>
    <row r="98" customFormat="false" ht="13.8" hidden="false" customHeight="false" outlineLevel="0" collapsed="false">
      <c r="A98" s="64" t="s">
        <v>165</v>
      </c>
      <c r="B98" s="109" t="n">
        <f aca="false">ROUND(C98/$C$77*100,2)</f>
        <v>1.56</v>
      </c>
      <c r="C98" s="76" t="n">
        <v>2</v>
      </c>
      <c r="D98" s="76"/>
    </row>
    <row r="99" customFormat="false" ht="13.8" hidden="false" customHeight="false" outlineLevel="0" collapsed="false">
      <c r="A99" s="64" t="s">
        <v>169</v>
      </c>
      <c r="B99" s="109"/>
      <c r="C99" s="76"/>
      <c r="D99" s="76"/>
    </row>
    <row r="100" customFormat="false" ht="13.8" hidden="false" customHeight="false" outlineLevel="0" collapsed="false">
      <c r="A100" s="64" t="s">
        <v>313</v>
      </c>
      <c r="B100" s="109"/>
      <c r="C100" s="76"/>
      <c r="D100" s="76"/>
    </row>
    <row r="101" customFormat="false" ht="13.8" hidden="false" customHeight="false" outlineLevel="0" collapsed="false">
      <c r="A101" s="64" t="s">
        <v>174</v>
      </c>
      <c r="B101" s="109" t="n">
        <f aca="false">ROUND(C101/$C$77*100,2)</f>
        <v>0.78</v>
      </c>
      <c r="C101" s="76" t="n">
        <v>1</v>
      </c>
      <c r="D101" s="76"/>
    </row>
    <row r="102" customFormat="false" ht="13.8" hidden="false" customHeight="false" outlineLevel="0" collapsed="false">
      <c r="A102" s="64" t="s">
        <v>177</v>
      </c>
      <c r="B102" s="109"/>
      <c r="C102" s="76"/>
      <c r="D102" s="76"/>
    </row>
    <row r="103" customFormat="false" ht="13.8" hidden="false" customHeight="false" outlineLevel="0" collapsed="false">
      <c r="A103" s="64" t="s">
        <v>180</v>
      </c>
      <c r="B103" s="109" t="n">
        <f aca="false">ROUND(C103/$C$77*100,2)</f>
        <v>0.78</v>
      </c>
      <c r="C103" s="76" t="n">
        <v>1</v>
      </c>
      <c r="D103" s="76"/>
    </row>
    <row r="104" customFormat="false" ht="13.8" hidden="false" customHeight="false" outlineLevel="0" collapsed="false">
      <c r="A104" s="64" t="s">
        <v>183</v>
      </c>
      <c r="B104" s="109" t="n">
        <f aca="false">ROUND(C104/$C$77*100,2)</f>
        <v>0.78</v>
      </c>
      <c r="C104" s="76" t="n">
        <v>1</v>
      </c>
      <c r="D104" s="76"/>
    </row>
    <row r="105" customFormat="false" ht="13.8" hidden="false" customHeight="false" outlineLevel="0" collapsed="false">
      <c r="A105" s="64" t="s">
        <v>186</v>
      </c>
      <c r="B105" s="109"/>
      <c r="C105" s="76"/>
      <c r="D105" s="76"/>
    </row>
    <row r="106" customFormat="false" ht="13.8" hidden="false" customHeight="false" outlineLevel="0" collapsed="false">
      <c r="A106" s="64" t="s">
        <v>191</v>
      </c>
      <c r="B106" s="109" t="n">
        <f aca="false">ROUND(C106/$C$77*100,2)</f>
        <v>7.81</v>
      </c>
      <c r="C106" s="76" t="n">
        <v>10</v>
      </c>
      <c r="D106" s="76"/>
    </row>
    <row r="107" customFormat="false" ht="13.8" hidden="false" customHeight="false" outlineLevel="0" collapsed="false">
      <c r="A107" s="64" t="s">
        <v>194</v>
      </c>
      <c r="B107" s="109" t="n">
        <f aca="false">ROUND(C107/$C$77*100,2)</f>
        <v>46.88</v>
      </c>
      <c r="C107" s="76" t="n">
        <v>60</v>
      </c>
      <c r="D107" s="76"/>
    </row>
    <row r="108" customFormat="false" ht="13.8" hidden="false" customHeight="false" outlineLevel="0" collapsed="false">
      <c r="A108" s="64" t="s">
        <v>314</v>
      </c>
      <c r="B108" s="109"/>
      <c r="C108" s="76"/>
      <c r="D108" s="76"/>
    </row>
    <row r="109" customFormat="false" ht="13.8" hidden="false" customHeight="false" outlineLevel="0" collapsed="false">
      <c r="A109" s="64" t="s">
        <v>315</v>
      </c>
      <c r="B109" s="109"/>
      <c r="C109" s="76"/>
      <c r="D109" s="76"/>
    </row>
    <row r="110" customFormat="false" ht="13.8" hidden="false" customHeight="false" outlineLevel="0" collapsed="false">
      <c r="A110" s="64" t="s">
        <v>196</v>
      </c>
      <c r="B110" s="109" t="n">
        <f aca="false">ROUND(C110/$C$77*100,2)</f>
        <v>0.78</v>
      </c>
      <c r="C110" s="76" t="n">
        <v>1</v>
      </c>
      <c r="D110" s="76"/>
    </row>
    <row r="111" customFormat="false" ht="13.8" hidden="false" customHeight="false" outlineLevel="0" collapsed="false">
      <c r="A111" s="64" t="s">
        <v>200</v>
      </c>
      <c r="B111" s="109" t="n">
        <f aca="false">ROUND(C111/$C$77*100,2)</f>
        <v>5.47</v>
      </c>
      <c r="C111" s="76" t="n">
        <v>7</v>
      </c>
      <c r="D111" s="76"/>
    </row>
    <row r="112" customFormat="false" ht="13.8" hidden="false" customHeight="false" outlineLevel="0" collapsed="false">
      <c r="A112" s="64" t="s">
        <v>208</v>
      </c>
      <c r="B112" s="109"/>
      <c r="C112" s="76"/>
      <c r="D112" s="76"/>
    </row>
    <row r="113" customFormat="false" ht="13.8" hidden="false" customHeight="false" outlineLevel="0" collapsed="false">
      <c r="A113" s="64" t="s">
        <v>316</v>
      </c>
      <c r="B113" s="109"/>
      <c r="C113" s="76"/>
      <c r="D113" s="76"/>
    </row>
    <row r="114" customFormat="false" ht="13.8" hidden="false" customHeight="false" outlineLevel="0" collapsed="false">
      <c r="A114" s="64" t="s">
        <v>211</v>
      </c>
      <c r="B114" s="109"/>
      <c r="C114" s="76"/>
      <c r="D114" s="76"/>
    </row>
    <row r="115" customFormat="false" ht="13.8" hidden="false" customHeight="false" outlineLevel="0" collapsed="false">
      <c r="A115" s="64" t="s">
        <v>317</v>
      </c>
      <c r="B115" s="109"/>
      <c r="C115" s="76"/>
      <c r="D115" s="76"/>
    </row>
    <row r="116" customFormat="false" ht="13.8" hidden="false" customHeight="false" outlineLevel="0" collapsed="false">
      <c r="A116" s="64" t="s">
        <v>213</v>
      </c>
      <c r="B116" s="109"/>
      <c r="C116" s="76"/>
      <c r="D116" s="76"/>
    </row>
    <row r="117" customFormat="false" ht="13.8" hidden="false" customHeight="false" outlineLevel="0" collapsed="false">
      <c r="A117" s="64" t="s">
        <v>318</v>
      </c>
      <c r="B117" s="109"/>
      <c r="C117" s="76"/>
      <c r="D117" s="76"/>
    </row>
    <row r="118" customFormat="false" ht="13.8" hidden="false" customHeight="false" outlineLevel="0" collapsed="false">
      <c r="A118" s="64" t="s">
        <v>319</v>
      </c>
      <c r="B118" s="109"/>
      <c r="C118" s="76"/>
      <c r="D118" s="76"/>
    </row>
    <row r="119" customFormat="false" ht="13.8" hidden="false" customHeight="false" outlineLevel="0" collapsed="false">
      <c r="A119" s="64" t="s">
        <v>215</v>
      </c>
      <c r="B119" s="109"/>
      <c r="C119" s="76"/>
      <c r="D119" s="76"/>
    </row>
    <row r="120" customFormat="false" ht="13.8" hidden="false" customHeight="false" outlineLevel="0" collapsed="false">
      <c r="A120" s="64" t="s">
        <v>219</v>
      </c>
      <c r="B120" s="109"/>
      <c r="C120" s="76"/>
      <c r="D120" s="76"/>
    </row>
    <row r="121" customFormat="false" ht="13.8" hidden="false" customHeight="false" outlineLevel="0" collapsed="false">
      <c r="A121" s="64" t="s">
        <v>320</v>
      </c>
      <c r="B121" s="109"/>
      <c r="C121" s="76"/>
      <c r="D121" s="76"/>
    </row>
    <row r="122" customFormat="false" ht="13.8" hidden="false" customHeight="false" outlineLevel="0" collapsed="false">
      <c r="A122" s="64" t="s">
        <v>222</v>
      </c>
      <c r="B122" s="109" t="n">
        <f aca="false">ROUND(C122/$C$77*100,2)</f>
        <v>0.78</v>
      </c>
      <c r="C122" s="76" t="n">
        <v>1</v>
      </c>
      <c r="D122" s="76"/>
    </row>
    <row r="123" customFormat="false" ht="13.8" hidden="false" customHeight="false" outlineLevel="0" collapsed="false">
      <c r="A123" s="64" t="s">
        <v>224</v>
      </c>
      <c r="B123" s="109"/>
      <c r="C123" s="76"/>
      <c r="D123" s="76"/>
    </row>
    <row r="124" customFormat="false" ht="13.8" hidden="false" customHeight="false" outlineLevel="0" collapsed="false">
      <c r="A124" s="64" t="s">
        <v>227</v>
      </c>
      <c r="B124" s="109" t="n">
        <f aca="false">ROUND(C124/$C$77*100,2)</f>
        <v>3.13</v>
      </c>
      <c r="C124" s="76" t="n">
        <v>4</v>
      </c>
      <c r="D124" s="76"/>
    </row>
    <row r="125" customFormat="false" ht="13.8" hidden="false" customHeight="false" outlineLevel="0" collapsed="false">
      <c r="A125" s="64" t="s">
        <v>230</v>
      </c>
      <c r="B125" s="109" t="n">
        <f aca="false">ROUND(C125/$C$77*100,2)</f>
        <v>3.13</v>
      </c>
      <c r="C125" s="76" t="n">
        <v>4</v>
      </c>
      <c r="D125" s="76"/>
    </row>
    <row r="126" customFormat="false" ht="13.8" hidden="false" customHeight="false" outlineLevel="0" collapsed="false">
      <c r="A126" s="64" t="s">
        <v>321</v>
      </c>
      <c r="B126" s="111"/>
      <c r="C126" s="76"/>
      <c r="D126" s="76"/>
    </row>
    <row r="127" customFormat="false" ht="13.8" hidden="false" customHeight="false" outlineLevel="0" collapsed="false">
      <c r="A127" s="64" t="s">
        <v>322</v>
      </c>
      <c r="B127" s="111"/>
      <c r="C127" s="76"/>
      <c r="D127" s="76"/>
    </row>
    <row r="128" customFormat="false" ht="13.8" hidden="false" customHeight="false" outlineLevel="0" collapsed="false">
      <c r="A128" s="64" t="s">
        <v>323</v>
      </c>
      <c r="B128" s="111"/>
      <c r="C128" s="76"/>
      <c r="D128" s="76"/>
    </row>
    <row r="129" customFormat="false" ht="13.8" hidden="false" customHeight="false" outlineLevel="0" collapsed="false">
      <c r="A129" s="64" t="s">
        <v>324</v>
      </c>
      <c r="B129" s="111"/>
      <c r="C129" s="76"/>
      <c r="D129" s="76"/>
    </row>
    <row r="130" customFormat="false" ht="13.8" hidden="false" customHeight="false" outlineLevel="0" collapsed="false">
      <c r="A130" s="64" t="s">
        <v>237</v>
      </c>
      <c r="B130" s="111"/>
      <c r="C130" s="76"/>
      <c r="D130" s="76"/>
    </row>
    <row r="131" customFormat="false" ht="13.8" hidden="false" customHeight="false" outlineLevel="0" collapsed="false">
      <c r="A131" s="64" t="s">
        <v>239</v>
      </c>
      <c r="B131" s="109" t="n">
        <f aca="false">ROUND(C131/$C$77*100,2)</f>
        <v>0.78</v>
      </c>
      <c r="C131" s="76" t="n">
        <v>1</v>
      </c>
      <c r="D131" s="76"/>
    </row>
    <row r="132" customFormat="false" ht="13.8" hidden="false" customHeight="false" outlineLevel="0" collapsed="false">
      <c r="A132" s="64" t="s">
        <v>241</v>
      </c>
      <c r="B132" s="109" t="n">
        <f aca="false">ROUND(C132/$C$77*100,2)</f>
        <v>0.78</v>
      </c>
      <c r="C132" s="76" t="n">
        <v>1</v>
      </c>
      <c r="D132" s="76"/>
    </row>
    <row r="133" customFormat="false" ht="13.8" hidden="false" customHeight="false" outlineLevel="0" collapsed="false">
      <c r="A133" s="64" t="s">
        <v>325</v>
      </c>
      <c r="B133" s="111"/>
      <c r="C133" s="76"/>
      <c r="D133" s="76"/>
    </row>
    <row r="134" customFormat="false" ht="13.8" hidden="false" customHeight="false" outlineLevel="0" collapsed="false">
      <c r="A134" s="64" t="s">
        <v>245</v>
      </c>
      <c r="B134" s="111"/>
      <c r="C134" s="76"/>
      <c r="D134" s="76"/>
    </row>
    <row r="135" customFormat="false" ht="13.8" hidden="false" customHeight="false" outlineLevel="0" collapsed="false">
      <c r="A135" s="64" t="s">
        <v>252</v>
      </c>
      <c r="B135" s="111"/>
      <c r="C135" s="76"/>
      <c r="D135" s="76"/>
    </row>
    <row r="136" customFormat="false" ht="13.8" hidden="false" customHeight="false" outlineLevel="0" collapsed="false">
      <c r="A136" s="64" t="s">
        <v>259</v>
      </c>
      <c r="B136" s="109" t="n">
        <f aca="false">ROUND(C136/$C$77*100,2)</f>
        <v>0.78</v>
      </c>
      <c r="C136" s="76" t="n">
        <v>1</v>
      </c>
      <c r="D136" s="76"/>
    </row>
    <row r="137" customFormat="false" ht="13.8" hidden="false" customHeight="false" outlineLevel="0" collapsed="false">
      <c r="A137" s="64" t="s">
        <v>326</v>
      </c>
      <c r="B137" s="109"/>
      <c r="C137" s="76"/>
      <c r="D137" s="76"/>
    </row>
    <row r="138" customFormat="false" ht="13.8" hidden="false" customHeight="false" outlineLevel="0" collapsed="false">
      <c r="A138" s="110" t="s">
        <v>327</v>
      </c>
      <c r="B138" s="109" t="n">
        <f aca="false">SUM(B90:B137)</f>
        <v>82.81</v>
      </c>
      <c r="C138" s="76"/>
      <c r="D138" s="76"/>
    </row>
    <row r="139" customFormat="false" ht="13.8" hidden="false" customHeight="false" outlineLevel="0" collapsed="false">
      <c r="A139" s="64" t="s">
        <v>328</v>
      </c>
      <c r="B139" s="109" t="n">
        <f aca="false">ROUND(C139/$C$77*100,2)</f>
        <v>15.63</v>
      </c>
      <c r="C139" s="76" t="n">
        <v>20</v>
      </c>
      <c r="D139" s="76"/>
      <c r="F139" s="72" t="n">
        <v>2</v>
      </c>
    </row>
    <row r="140" customFormat="false" ht="13.8" hidden="false" customHeight="false" outlineLevel="0" collapsed="false">
      <c r="A140" s="64" t="s">
        <v>329</v>
      </c>
      <c r="B140" s="109" t="n">
        <f aca="false">ROUND(C140/$C$77*100,2)</f>
        <v>0.78</v>
      </c>
      <c r="C140" s="76" t="n">
        <v>1</v>
      </c>
      <c r="D140" s="76"/>
    </row>
    <row r="141" customFormat="false" ht="13.8" hidden="false" customHeight="false" outlineLevel="0" collapsed="false">
      <c r="A141" s="64" t="s">
        <v>330</v>
      </c>
      <c r="B141" s="109"/>
      <c r="C141" s="76"/>
      <c r="D141" s="76"/>
    </row>
    <row r="142" customFormat="false" ht="13.8" hidden="false" customHeight="false" outlineLevel="0" collapsed="false">
      <c r="A142" s="64" t="s">
        <v>331</v>
      </c>
      <c r="B142" s="109"/>
      <c r="C142" s="76"/>
      <c r="D142" s="76"/>
    </row>
    <row r="143" customFormat="false" ht="13.8" hidden="false" customHeight="false" outlineLevel="0" collapsed="false">
      <c r="A143" s="64" t="s">
        <v>332</v>
      </c>
      <c r="B143" s="109"/>
      <c r="C143" s="76"/>
      <c r="D143" s="76"/>
    </row>
    <row r="144" customFormat="false" ht="13.8" hidden="false" customHeight="false" outlineLevel="0" collapsed="false">
      <c r="A144" s="64" t="s">
        <v>333</v>
      </c>
      <c r="B144" s="109" t="n">
        <f aca="false">ROUND(C144/$C$77*100,2)</f>
        <v>0.78</v>
      </c>
      <c r="C144" s="76" t="n">
        <v>1</v>
      </c>
      <c r="D144" s="76"/>
    </row>
    <row r="145" customFormat="false" ht="13.8" hidden="false" customHeight="false" outlineLevel="0" collapsed="false">
      <c r="A145" s="64"/>
      <c r="B145" s="109"/>
      <c r="C145" s="76"/>
      <c r="D145" s="76"/>
    </row>
    <row r="146" customFormat="false" ht="13.8" hidden="false" customHeight="false" outlineLevel="0" collapsed="false">
      <c r="A146" s="64" t="s">
        <v>343</v>
      </c>
      <c r="B146" s="111"/>
      <c r="C146" s="76"/>
      <c r="D146" s="76"/>
    </row>
    <row r="147" customFormat="false" ht="13.8" hidden="false" customHeight="false" outlineLevel="0" collapsed="false">
      <c r="A147" s="64"/>
      <c r="B147" s="111"/>
      <c r="C147" s="76"/>
      <c r="D147" s="76"/>
    </row>
    <row r="148" customFormat="false" ht="24.4" hidden="false" customHeight="false" outlineLevel="0" collapsed="false">
      <c r="A148" s="102" t="s">
        <v>292</v>
      </c>
      <c r="B148" s="103" t="s">
        <v>293</v>
      </c>
      <c r="C148" s="31" t="s">
        <v>294</v>
      </c>
      <c r="D148" s="31" t="s">
        <v>334</v>
      </c>
    </row>
    <row r="149" customFormat="false" ht="13.8" hidden="false" customHeight="false" outlineLevel="0" collapsed="false">
      <c r="A149" s="104" t="s">
        <v>344</v>
      </c>
      <c r="B149" s="61" t="s">
        <v>336</v>
      </c>
      <c r="C149" s="76" t="n">
        <f aca="false">+D149</f>
        <v>98</v>
      </c>
      <c r="D149" s="76" t="n">
        <v>98</v>
      </c>
    </row>
    <row r="150" customFormat="false" ht="13.8" hidden="false" customHeight="false" outlineLevel="0" collapsed="false">
      <c r="A150" s="104"/>
      <c r="B150" s="61"/>
      <c r="C150" s="76"/>
      <c r="D150" s="76"/>
    </row>
    <row r="151" customFormat="false" ht="24.4" hidden="false" customHeight="false" outlineLevel="0" collapsed="false">
      <c r="A151" s="105" t="s">
        <v>299</v>
      </c>
      <c r="B151" s="103" t="s">
        <v>300</v>
      </c>
      <c r="C151" s="31" t="s">
        <v>301</v>
      </c>
      <c r="D151" s="31" t="s">
        <v>337</v>
      </c>
    </row>
    <row r="152" customFormat="false" ht="23.8" hidden="false" customHeight="false" outlineLevel="0" collapsed="false">
      <c r="A152" s="106" t="s">
        <v>159</v>
      </c>
      <c r="B152" s="108" t="n">
        <f aca="false">ROUND(D152/$C$149*100,2)</f>
        <v>47.96</v>
      </c>
      <c r="C152" s="112" t="s">
        <v>345</v>
      </c>
      <c r="D152" s="107" t="n">
        <v>47</v>
      </c>
    </row>
    <row r="153" customFormat="false" ht="34.3" hidden="false" customHeight="false" outlineLevel="0" collapsed="false">
      <c r="A153" s="106" t="s">
        <v>163</v>
      </c>
      <c r="B153" s="108" t="n">
        <f aca="false">ROUND(D153/$C$149*100,2)</f>
        <v>25.51</v>
      </c>
      <c r="C153" s="112" t="s">
        <v>346</v>
      </c>
      <c r="D153" s="107" t="n">
        <v>25</v>
      </c>
    </row>
    <row r="154" customFormat="false" ht="13.8" hidden="false" customHeight="false" outlineLevel="0" collapsed="false">
      <c r="A154" s="106" t="s">
        <v>189</v>
      </c>
      <c r="B154" s="108" t="n">
        <f aca="false">ROUND(D154/$C$149*100,2)</f>
        <v>5.1</v>
      </c>
      <c r="C154" s="112" t="s">
        <v>347</v>
      </c>
      <c r="D154" s="107" t="n">
        <v>5</v>
      </c>
    </row>
    <row r="155" customFormat="false" ht="25.3" hidden="false" customHeight="false" outlineLevel="0" collapsed="false">
      <c r="A155" s="106" t="s">
        <v>171</v>
      </c>
      <c r="B155" s="108" t="n">
        <f aca="false">ROUND(D155/$C$149*100,2)</f>
        <v>20.41</v>
      </c>
      <c r="C155" s="112" t="s">
        <v>348</v>
      </c>
      <c r="D155" s="107" t="n">
        <v>20</v>
      </c>
    </row>
    <row r="156" customFormat="false" ht="13.8" hidden="false" customHeight="false" outlineLevel="0" collapsed="false">
      <c r="A156" s="106" t="s">
        <v>342</v>
      </c>
      <c r="B156" s="108" t="n">
        <f aca="false">ROUND(D156/$C$149*100,2)</f>
        <v>1.02</v>
      </c>
      <c r="C156" s="112" t="s">
        <v>349</v>
      </c>
      <c r="D156" s="107" t="n">
        <v>1</v>
      </c>
    </row>
    <row r="157" customFormat="false" ht="13.8" hidden="false" customHeight="false" outlineLevel="0" collapsed="false">
      <c r="A157" s="106"/>
      <c r="B157" s="108"/>
      <c r="C157" s="107"/>
      <c r="D157" s="107"/>
    </row>
    <row r="158" customFormat="false" ht="13.8" hidden="false" customHeight="false" outlineLevel="0" collapsed="false">
      <c r="A158" s="106"/>
      <c r="B158" s="108"/>
      <c r="C158" s="107"/>
      <c r="D158" s="107"/>
    </row>
    <row r="159" customFormat="false" ht="13.8" hidden="false" customHeight="false" outlineLevel="0" collapsed="false">
      <c r="A159" s="106"/>
      <c r="B159" s="108"/>
      <c r="C159" s="107"/>
      <c r="D159" s="107"/>
    </row>
    <row r="160" customFormat="false" ht="13.8" hidden="false" customHeight="false" outlineLevel="0" collapsed="false">
      <c r="A160" s="106"/>
      <c r="B160" s="108"/>
      <c r="C160" s="107"/>
      <c r="D160" s="107"/>
    </row>
    <row r="161" customFormat="false" ht="13.8" hidden="false" customHeight="false" outlineLevel="0" collapsed="false">
      <c r="A161" s="105" t="s">
        <v>304</v>
      </c>
      <c r="B161" s="103" t="s">
        <v>305</v>
      </c>
      <c r="C161" s="31" t="s">
        <v>337</v>
      </c>
      <c r="D161" s="107"/>
    </row>
    <row r="162" customFormat="false" ht="13.8" hidden="false" customHeight="false" outlineLevel="0" collapsed="false">
      <c r="A162" s="64" t="s">
        <v>306</v>
      </c>
      <c r="B162" s="111"/>
      <c r="C162" s="76"/>
      <c r="D162" s="76"/>
    </row>
    <row r="163" customFormat="false" ht="13.8" hidden="false" customHeight="false" outlineLevel="0" collapsed="false">
      <c r="A163" s="64" t="s">
        <v>307</v>
      </c>
      <c r="B163" s="111"/>
      <c r="C163" s="76"/>
      <c r="D163" s="76"/>
    </row>
    <row r="164" customFormat="false" ht="13.8" hidden="false" customHeight="false" outlineLevel="0" collapsed="false">
      <c r="A164" s="64" t="s">
        <v>308</v>
      </c>
      <c r="B164" s="111"/>
      <c r="C164" s="76"/>
      <c r="D164" s="76"/>
    </row>
    <row r="165" customFormat="false" ht="13.8" hidden="false" customHeight="false" outlineLevel="0" collapsed="false">
      <c r="A165" s="64" t="s">
        <v>309</v>
      </c>
      <c r="B165" s="111"/>
      <c r="C165" s="76"/>
      <c r="D165" s="76"/>
    </row>
    <row r="166" customFormat="false" ht="13.8" hidden="false" customHeight="false" outlineLevel="0" collapsed="false">
      <c r="A166" s="64" t="s">
        <v>310</v>
      </c>
      <c r="B166" s="111"/>
      <c r="C166" s="76"/>
      <c r="D166" s="76"/>
    </row>
    <row r="167" customFormat="false" ht="13.8" hidden="false" customHeight="false" outlineLevel="0" collapsed="false">
      <c r="A167" s="64" t="s">
        <v>311</v>
      </c>
      <c r="B167" s="111"/>
      <c r="C167" s="76"/>
      <c r="D167" s="76"/>
    </row>
    <row r="168" customFormat="false" ht="13.8" hidden="false" customHeight="false" outlineLevel="0" collapsed="false">
      <c r="A168" s="64" t="s">
        <v>160</v>
      </c>
      <c r="B168" s="111" t="n">
        <f aca="false">ROUND(C168/$D$149*100,2)</f>
        <v>2.04</v>
      </c>
      <c r="C168" s="76" t="n">
        <v>2</v>
      </c>
      <c r="D168" s="76"/>
    </row>
    <row r="169" customFormat="false" ht="13.8" hidden="false" customHeight="false" outlineLevel="0" collapsed="false">
      <c r="A169" s="64" t="s">
        <v>312</v>
      </c>
      <c r="B169" s="111"/>
      <c r="C169" s="76"/>
      <c r="D169" s="76"/>
    </row>
    <row r="170" customFormat="false" ht="13.8" hidden="false" customHeight="false" outlineLevel="0" collapsed="false">
      <c r="A170" s="64" t="s">
        <v>165</v>
      </c>
      <c r="B170" s="111" t="n">
        <f aca="false">ROUND(C170/$D$149*100,2)</f>
        <v>5.1</v>
      </c>
      <c r="C170" s="76" t="n">
        <v>5</v>
      </c>
      <c r="D170" s="76"/>
    </row>
    <row r="171" customFormat="false" ht="13.8" hidden="false" customHeight="false" outlineLevel="0" collapsed="false">
      <c r="A171" s="64" t="s">
        <v>169</v>
      </c>
      <c r="B171" s="111" t="n">
        <f aca="false">ROUND(C171/$D$149*100,2)</f>
        <v>5.1</v>
      </c>
      <c r="C171" s="76" t="n">
        <v>5</v>
      </c>
      <c r="D171" s="76"/>
    </row>
    <row r="172" customFormat="false" ht="13.8" hidden="false" customHeight="false" outlineLevel="0" collapsed="false">
      <c r="A172" s="64" t="s">
        <v>313</v>
      </c>
      <c r="B172" s="111"/>
      <c r="C172" s="76"/>
      <c r="D172" s="76"/>
    </row>
    <row r="173" customFormat="false" ht="13.8" hidden="false" customHeight="false" outlineLevel="0" collapsed="false">
      <c r="A173" s="64" t="s">
        <v>174</v>
      </c>
      <c r="B173" s="111"/>
      <c r="C173" s="76"/>
      <c r="D173" s="76"/>
    </row>
    <row r="174" customFormat="false" ht="13.8" hidden="false" customHeight="false" outlineLevel="0" collapsed="false">
      <c r="A174" s="64" t="s">
        <v>177</v>
      </c>
      <c r="B174" s="111"/>
      <c r="C174" s="76"/>
      <c r="D174" s="76"/>
    </row>
    <row r="175" customFormat="false" ht="13.8" hidden="false" customHeight="false" outlineLevel="0" collapsed="false">
      <c r="A175" s="64" t="s">
        <v>180</v>
      </c>
      <c r="B175" s="111" t="n">
        <f aca="false">ROUND(C175/$D$149*100,2)</f>
        <v>1.02</v>
      </c>
      <c r="C175" s="76" t="n">
        <v>1</v>
      </c>
      <c r="D175" s="76"/>
    </row>
    <row r="176" customFormat="false" ht="13.8" hidden="false" customHeight="false" outlineLevel="0" collapsed="false">
      <c r="A176" s="64" t="s">
        <v>183</v>
      </c>
      <c r="B176" s="111" t="n">
        <f aca="false">ROUND(C176/$D$149*100,2)</f>
        <v>4.08</v>
      </c>
      <c r="C176" s="76" t="n">
        <v>4</v>
      </c>
      <c r="D176" s="76"/>
    </row>
    <row r="177" customFormat="false" ht="13.8" hidden="false" customHeight="false" outlineLevel="0" collapsed="false">
      <c r="A177" s="64" t="s">
        <v>186</v>
      </c>
      <c r="B177" s="111"/>
      <c r="C177" s="76"/>
      <c r="D177" s="76"/>
    </row>
    <row r="178" customFormat="false" ht="13.8" hidden="false" customHeight="false" outlineLevel="0" collapsed="false">
      <c r="A178" s="64" t="s">
        <v>191</v>
      </c>
      <c r="B178" s="111" t="n">
        <f aca="false">ROUND(C178/$D$149*100,2)</f>
        <v>1.02</v>
      </c>
      <c r="C178" s="76" t="n">
        <v>1</v>
      </c>
      <c r="D178" s="76"/>
    </row>
    <row r="179" customFormat="false" ht="13.8" hidden="false" customHeight="false" outlineLevel="0" collapsed="false">
      <c r="A179" s="64" t="s">
        <v>194</v>
      </c>
      <c r="B179" s="111" t="n">
        <f aca="false">ROUND(C179/$D$149*100,2)</f>
        <v>29.59</v>
      </c>
      <c r="C179" s="76" t="n">
        <v>29</v>
      </c>
      <c r="D179" s="76"/>
    </row>
    <row r="180" customFormat="false" ht="13.8" hidden="false" customHeight="false" outlineLevel="0" collapsed="false">
      <c r="A180" s="64" t="s">
        <v>314</v>
      </c>
      <c r="B180" s="111"/>
      <c r="C180" s="76"/>
      <c r="D180" s="76"/>
    </row>
    <row r="181" customFormat="false" ht="13.8" hidden="false" customHeight="false" outlineLevel="0" collapsed="false">
      <c r="A181" s="64" t="s">
        <v>315</v>
      </c>
      <c r="B181" s="111"/>
      <c r="C181" s="76"/>
      <c r="D181" s="76"/>
    </row>
    <row r="182" customFormat="false" ht="13.8" hidden="false" customHeight="false" outlineLevel="0" collapsed="false">
      <c r="A182" s="64" t="s">
        <v>196</v>
      </c>
      <c r="B182" s="111"/>
      <c r="C182" s="76"/>
      <c r="D182" s="76"/>
    </row>
    <row r="183" customFormat="false" ht="13.8" hidden="false" customHeight="false" outlineLevel="0" collapsed="false">
      <c r="A183" s="64" t="s">
        <v>200</v>
      </c>
      <c r="B183" s="111" t="n">
        <f aca="false">ROUND(C183/$D$149*100,2)</f>
        <v>11.22</v>
      </c>
      <c r="C183" s="76" t="n">
        <v>11</v>
      </c>
      <c r="D183" s="76"/>
    </row>
    <row r="184" customFormat="false" ht="13.8" hidden="false" customHeight="false" outlineLevel="0" collapsed="false">
      <c r="A184" s="64" t="s">
        <v>208</v>
      </c>
      <c r="B184" s="111"/>
      <c r="C184" s="76"/>
      <c r="D184" s="76"/>
    </row>
    <row r="185" customFormat="false" ht="13.8" hidden="false" customHeight="false" outlineLevel="0" collapsed="false">
      <c r="A185" s="64" t="s">
        <v>316</v>
      </c>
      <c r="B185" s="111"/>
      <c r="C185" s="76"/>
      <c r="D185" s="76"/>
    </row>
    <row r="186" customFormat="false" ht="13.8" hidden="false" customHeight="false" outlineLevel="0" collapsed="false">
      <c r="A186" s="64" t="s">
        <v>211</v>
      </c>
      <c r="B186" s="111"/>
      <c r="C186" s="76"/>
      <c r="D186" s="76"/>
    </row>
    <row r="187" customFormat="false" ht="13.8" hidden="false" customHeight="false" outlineLevel="0" collapsed="false">
      <c r="A187" s="64" t="s">
        <v>317</v>
      </c>
      <c r="B187" s="111"/>
      <c r="C187" s="76"/>
      <c r="D187" s="76"/>
    </row>
    <row r="188" customFormat="false" ht="13.8" hidden="false" customHeight="false" outlineLevel="0" collapsed="false">
      <c r="A188" s="64" t="s">
        <v>213</v>
      </c>
      <c r="B188" s="111"/>
      <c r="C188" s="76"/>
      <c r="D188" s="76"/>
    </row>
    <row r="189" customFormat="false" ht="13.8" hidden="false" customHeight="false" outlineLevel="0" collapsed="false">
      <c r="A189" s="64" t="s">
        <v>318</v>
      </c>
      <c r="B189" s="111"/>
      <c r="C189" s="76"/>
      <c r="D189" s="76"/>
    </row>
    <row r="190" customFormat="false" ht="13.8" hidden="false" customHeight="false" outlineLevel="0" collapsed="false">
      <c r="A190" s="64" t="s">
        <v>319</v>
      </c>
      <c r="B190" s="111"/>
      <c r="C190" s="76"/>
      <c r="D190" s="76"/>
    </row>
    <row r="191" customFormat="false" ht="13.8" hidden="false" customHeight="false" outlineLevel="0" collapsed="false">
      <c r="A191" s="64" t="s">
        <v>215</v>
      </c>
      <c r="B191" s="111"/>
      <c r="C191" s="76"/>
      <c r="D191" s="76"/>
    </row>
    <row r="192" customFormat="false" ht="13.8" hidden="false" customHeight="false" outlineLevel="0" collapsed="false">
      <c r="A192" s="64" t="s">
        <v>219</v>
      </c>
      <c r="B192" s="111"/>
      <c r="C192" s="76"/>
      <c r="D192" s="76"/>
    </row>
    <row r="193" customFormat="false" ht="13.8" hidden="false" customHeight="false" outlineLevel="0" collapsed="false">
      <c r="A193" s="64" t="s">
        <v>320</v>
      </c>
      <c r="B193" s="111"/>
      <c r="C193" s="76"/>
      <c r="D193" s="76"/>
    </row>
    <row r="194" customFormat="false" ht="13.8" hidden="false" customHeight="false" outlineLevel="0" collapsed="false">
      <c r="A194" s="64" t="s">
        <v>222</v>
      </c>
      <c r="B194" s="111"/>
      <c r="C194" s="76"/>
      <c r="D194" s="76"/>
    </row>
    <row r="195" customFormat="false" ht="13.8" hidden="false" customHeight="false" outlineLevel="0" collapsed="false">
      <c r="A195" s="64" t="s">
        <v>224</v>
      </c>
      <c r="B195" s="111"/>
      <c r="C195" s="76"/>
      <c r="D195" s="76"/>
    </row>
    <row r="196" customFormat="false" ht="13.8" hidden="false" customHeight="false" outlineLevel="0" collapsed="false">
      <c r="A196" s="64" t="s">
        <v>227</v>
      </c>
      <c r="B196" s="111"/>
      <c r="C196" s="76"/>
      <c r="D196" s="76"/>
    </row>
    <row r="197" customFormat="false" ht="13.8" hidden="false" customHeight="false" outlineLevel="0" collapsed="false">
      <c r="A197" s="64" t="s">
        <v>230</v>
      </c>
      <c r="B197" s="111" t="n">
        <f aca="false">ROUND(C197/$D$149*100,2)</f>
        <v>10.2</v>
      </c>
      <c r="C197" s="76" t="n">
        <v>10</v>
      </c>
      <c r="D197" s="76"/>
    </row>
    <row r="198" customFormat="false" ht="13.8" hidden="false" customHeight="false" outlineLevel="0" collapsed="false">
      <c r="A198" s="64" t="s">
        <v>321</v>
      </c>
      <c r="B198" s="111"/>
      <c r="C198" s="76"/>
      <c r="D198" s="76"/>
    </row>
    <row r="199" customFormat="false" ht="13.8" hidden="false" customHeight="false" outlineLevel="0" collapsed="false">
      <c r="A199" s="64" t="s">
        <v>322</v>
      </c>
      <c r="B199" s="111"/>
      <c r="C199" s="76"/>
      <c r="D199" s="76"/>
    </row>
    <row r="200" customFormat="false" ht="13.8" hidden="false" customHeight="false" outlineLevel="0" collapsed="false">
      <c r="A200" s="64" t="s">
        <v>323</v>
      </c>
      <c r="B200" s="111"/>
      <c r="C200" s="76"/>
      <c r="D200" s="76"/>
    </row>
    <row r="201" customFormat="false" ht="13.8" hidden="false" customHeight="false" outlineLevel="0" collapsed="false">
      <c r="A201" s="64" t="s">
        <v>324</v>
      </c>
      <c r="B201" s="111"/>
      <c r="C201" s="76"/>
      <c r="D201" s="76"/>
    </row>
    <row r="202" customFormat="false" ht="13.8" hidden="false" customHeight="false" outlineLevel="0" collapsed="false">
      <c r="A202" s="64" t="s">
        <v>237</v>
      </c>
      <c r="B202" s="111"/>
      <c r="C202" s="76"/>
      <c r="D202" s="76"/>
    </row>
    <row r="203" customFormat="false" ht="13.8" hidden="false" customHeight="false" outlineLevel="0" collapsed="false">
      <c r="A203" s="64" t="s">
        <v>239</v>
      </c>
      <c r="B203" s="111" t="n">
        <f aca="false">ROUND(C203/$D$149*100,2)</f>
        <v>5.1</v>
      </c>
      <c r="C203" s="76" t="n">
        <v>5</v>
      </c>
      <c r="D203" s="76"/>
    </row>
    <row r="204" customFormat="false" ht="13.8" hidden="false" customHeight="false" outlineLevel="0" collapsed="false">
      <c r="A204" s="64" t="s">
        <v>241</v>
      </c>
      <c r="B204" s="111"/>
      <c r="C204" s="76"/>
      <c r="D204" s="76"/>
    </row>
    <row r="205" customFormat="false" ht="13.8" hidden="false" customHeight="false" outlineLevel="0" collapsed="false">
      <c r="A205" s="64" t="s">
        <v>325</v>
      </c>
      <c r="B205" s="111"/>
      <c r="C205" s="76"/>
      <c r="D205" s="76"/>
    </row>
    <row r="206" customFormat="false" ht="13.8" hidden="false" customHeight="false" outlineLevel="0" collapsed="false">
      <c r="A206" s="64" t="s">
        <v>245</v>
      </c>
      <c r="B206" s="111"/>
      <c r="C206" s="76"/>
      <c r="D206" s="76"/>
    </row>
    <row r="207" customFormat="false" ht="13.8" hidden="false" customHeight="false" outlineLevel="0" collapsed="false">
      <c r="A207" s="64" t="s">
        <v>252</v>
      </c>
      <c r="B207" s="111"/>
      <c r="C207" s="76"/>
      <c r="D207" s="76"/>
    </row>
    <row r="208" customFormat="false" ht="13.8" hidden="false" customHeight="false" outlineLevel="0" collapsed="false">
      <c r="A208" s="64" t="s">
        <v>259</v>
      </c>
      <c r="B208" s="111" t="n">
        <f aca="false">ROUND(C208/$D$149*100,2)</f>
        <v>15.31</v>
      </c>
      <c r="C208" s="76" t="n">
        <v>15</v>
      </c>
      <c r="D208" s="76"/>
    </row>
    <row r="209" customFormat="false" ht="13.8" hidden="false" customHeight="false" outlineLevel="0" collapsed="false">
      <c r="A209" s="64" t="s">
        <v>326</v>
      </c>
      <c r="B209" s="111"/>
      <c r="C209" s="76"/>
      <c r="D209" s="76"/>
    </row>
    <row r="210" customFormat="false" ht="13.8" hidden="false" customHeight="false" outlineLevel="0" collapsed="false">
      <c r="A210" s="110" t="s">
        <v>327</v>
      </c>
      <c r="B210" s="111" t="n">
        <f aca="false">SUM(B162:B209)</f>
        <v>89.78</v>
      </c>
      <c r="C210" s="76"/>
      <c r="D210" s="76"/>
    </row>
    <row r="211" customFormat="false" ht="13.8" hidden="false" customHeight="false" outlineLevel="0" collapsed="false">
      <c r="A211" s="64" t="s">
        <v>328</v>
      </c>
      <c r="B211" s="111" t="n">
        <f aca="false">ROUND(C211/$D$149*100,2)</f>
        <v>10.2</v>
      </c>
      <c r="C211" s="76" t="n">
        <v>10</v>
      </c>
      <c r="D211" s="76"/>
    </row>
    <row r="212" customFormat="false" ht="13.8" hidden="false" customHeight="false" outlineLevel="0" collapsed="false">
      <c r="A212" s="64" t="s">
        <v>329</v>
      </c>
      <c r="B212" s="111"/>
      <c r="C212" s="76"/>
      <c r="D212" s="76"/>
    </row>
    <row r="213" customFormat="false" ht="13.8" hidden="false" customHeight="false" outlineLevel="0" collapsed="false">
      <c r="A213" s="64" t="s">
        <v>330</v>
      </c>
      <c r="B213" s="111"/>
      <c r="C213" s="76"/>
      <c r="D213" s="76"/>
    </row>
    <row r="214" customFormat="false" ht="13.8" hidden="false" customHeight="false" outlineLevel="0" collapsed="false">
      <c r="A214" s="64" t="s">
        <v>331</v>
      </c>
      <c r="B214" s="111"/>
      <c r="C214" s="76"/>
      <c r="D214" s="76"/>
    </row>
    <row r="215" customFormat="false" ht="13.8" hidden="false" customHeight="false" outlineLevel="0" collapsed="false">
      <c r="A215" s="64" t="s">
        <v>332</v>
      </c>
      <c r="B215" s="111"/>
      <c r="C215" s="76"/>
      <c r="D215" s="76"/>
    </row>
    <row r="216" customFormat="false" ht="13.8" hidden="false" customHeight="false" outlineLevel="0" collapsed="false">
      <c r="A216" s="64" t="s">
        <v>333</v>
      </c>
      <c r="B216" s="111"/>
      <c r="C216" s="76"/>
      <c r="D216" s="76"/>
    </row>
    <row r="217" customFormat="false" ht="13.8" hidden="false" customHeight="false" outlineLevel="0" collapsed="false">
      <c r="A217" s="64"/>
      <c r="B217" s="111"/>
      <c r="C217" s="76"/>
      <c r="D217" s="76"/>
    </row>
    <row r="218" customFormat="false" ht="13.8" hidden="false" customHeight="false" outlineLevel="0" collapsed="false">
      <c r="A218" s="64" t="s">
        <v>343</v>
      </c>
      <c r="B218" s="111"/>
      <c r="C218" s="76"/>
      <c r="D218" s="76"/>
    </row>
    <row r="219" customFormat="false" ht="13.8" hidden="false" customHeight="false" outlineLevel="0" collapsed="false">
      <c r="A219" s="64"/>
      <c r="B219" s="111"/>
      <c r="C219" s="76"/>
      <c r="D219" s="76"/>
    </row>
    <row r="220" customFormat="false" ht="24.4" hidden="false" customHeight="false" outlineLevel="0" collapsed="false">
      <c r="A220" s="102" t="s">
        <v>292</v>
      </c>
      <c r="B220" s="103" t="s">
        <v>293</v>
      </c>
      <c r="C220" s="31" t="s">
        <v>294</v>
      </c>
      <c r="D220" s="31" t="s">
        <v>334</v>
      </c>
    </row>
    <row r="221" customFormat="false" ht="13.8" hidden="false" customHeight="false" outlineLevel="0" collapsed="false">
      <c r="A221" s="104" t="s">
        <v>350</v>
      </c>
      <c r="B221" s="61" t="s">
        <v>336</v>
      </c>
      <c r="C221" s="76" t="n">
        <f aca="false">+D221</f>
        <v>352</v>
      </c>
      <c r="D221" s="76" t="n">
        <v>352</v>
      </c>
    </row>
    <row r="222" customFormat="false" ht="13.8" hidden="false" customHeight="false" outlineLevel="0" collapsed="false">
      <c r="A222" s="104"/>
      <c r="B222" s="61"/>
      <c r="C222" s="76"/>
      <c r="D222" s="76"/>
    </row>
    <row r="223" customFormat="false" ht="24.4" hidden="false" customHeight="false" outlineLevel="0" collapsed="false">
      <c r="A223" s="105" t="s">
        <v>299</v>
      </c>
      <c r="B223" s="103" t="s">
        <v>300</v>
      </c>
      <c r="C223" s="31" t="s">
        <v>301</v>
      </c>
      <c r="D223" s="31" t="s">
        <v>337</v>
      </c>
    </row>
    <row r="224" customFormat="false" ht="34.3" hidden="false" customHeight="false" outlineLevel="0" collapsed="false">
      <c r="A224" s="106" t="s">
        <v>159</v>
      </c>
      <c r="B224" s="108" t="n">
        <f aca="false">ROUND(D224/$C$221*100,2)</f>
        <v>60.23</v>
      </c>
      <c r="C224" s="112" t="s">
        <v>351</v>
      </c>
      <c r="D224" s="107" t="n">
        <v>212</v>
      </c>
    </row>
    <row r="225" customFormat="false" ht="34.3" hidden="false" customHeight="false" outlineLevel="0" collapsed="false">
      <c r="A225" s="106" t="s">
        <v>189</v>
      </c>
      <c r="B225" s="108" t="n">
        <f aca="false">ROUND(D225/$C$221*100,2)</f>
        <v>11.36</v>
      </c>
      <c r="C225" s="112" t="s">
        <v>352</v>
      </c>
      <c r="D225" s="107" t="n">
        <v>40</v>
      </c>
    </row>
    <row r="226" customFormat="false" ht="45.3" hidden="false" customHeight="false" outlineLevel="0" collapsed="false">
      <c r="A226" s="106" t="s">
        <v>163</v>
      </c>
      <c r="B226" s="108" t="n">
        <f aca="false">ROUND(D226/$C$221*100,2)</f>
        <v>22.73</v>
      </c>
      <c r="C226" s="112" t="s">
        <v>353</v>
      </c>
      <c r="D226" s="107" t="n">
        <v>80</v>
      </c>
    </row>
    <row r="227" customFormat="false" ht="13.8" hidden="false" customHeight="false" outlineLevel="0" collapsed="false">
      <c r="A227" s="106" t="s">
        <v>171</v>
      </c>
      <c r="B227" s="108" t="n">
        <f aca="false">ROUND(D227/$C$221*100,2)</f>
        <v>3.13</v>
      </c>
      <c r="C227" s="112" t="s">
        <v>339</v>
      </c>
      <c r="D227" s="107" t="n">
        <v>11</v>
      </c>
    </row>
    <row r="228" customFormat="false" ht="34.3" hidden="false" customHeight="false" outlineLevel="0" collapsed="false">
      <c r="A228" s="106" t="s">
        <v>342</v>
      </c>
      <c r="B228" s="108" t="n">
        <f aca="false">ROUND(D228/$C$221*100,2)</f>
        <v>2.56</v>
      </c>
      <c r="C228" s="112" t="s">
        <v>354</v>
      </c>
      <c r="D228" s="107" t="n">
        <v>9</v>
      </c>
    </row>
    <row r="229" customFormat="false" ht="13.8" hidden="false" customHeight="false" outlineLevel="0" collapsed="false">
      <c r="A229" s="106"/>
      <c r="B229" s="108"/>
      <c r="C229" s="107"/>
      <c r="D229" s="107"/>
    </row>
    <row r="230" customFormat="false" ht="13.8" hidden="false" customHeight="false" outlineLevel="0" collapsed="false">
      <c r="A230" s="106"/>
      <c r="B230" s="108"/>
      <c r="C230" s="107"/>
      <c r="D230" s="107"/>
    </row>
    <row r="231" customFormat="false" ht="13.8" hidden="false" customHeight="false" outlineLevel="0" collapsed="false">
      <c r="A231" s="106"/>
      <c r="B231" s="108"/>
      <c r="C231" s="107"/>
      <c r="D231" s="107"/>
    </row>
    <row r="232" customFormat="false" ht="13.8" hidden="false" customHeight="false" outlineLevel="0" collapsed="false">
      <c r="A232" s="105" t="s">
        <v>304</v>
      </c>
      <c r="B232" s="103" t="s">
        <v>305</v>
      </c>
      <c r="C232" s="31" t="s">
        <v>337</v>
      </c>
      <c r="D232" s="107"/>
    </row>
    <row r="233" customFormat="false" ht="13.8" hidden="false" customHeight="false" outlineLevel="0" collapsed="false">
      <c r="A233" s="64" t="s">
        <v>306</v>
      </c>
      <c r="B233" s="111" t="n">
        <f aca="false">ROUND(C233/$C$221*100,2)</f>
        <v>0</v>
      </c>
      <c r="C233" s="76"/>
      <c r="D233" s="76"/>
    </row>
    <row r="234" customFormat="false" ht="13.8" hidden="false" customHeight="false" outlineLevel="0" collapsed="false">
      <c r="A234" s="64" t="s">
        <v>307</v>
      </c>
      <c r="B234" s="111" t="n">
        <f aca="false">ROUND(C234/$C$221*100,2)</f>
        <v>0</v>
      </c>
      <c r="C234" s="76"/>
      <c r="D234" s="76"/>
    </row>
    <row r="235" customFormat="false" ht="13.8" hidden="false" customHeight="false" outlineLevel="0" collapsed="false">
      <c r="A235" s="64" t="s">
        <v>308</v>
      </c>
      <c r="B235" s="111" t="n">
        <f aca="false">ROUND(C235/$C$221*100,2)</f>
        <v>0</v>
      </c>
      <c r="C235" s="76"/>
      <c r="D235" s="76"/>
    </row>
    <row r="236" customFormat="false" ht="13.8" hidden="false" customHeight="false" outlineLevel="0" collapsed="false">
      <c r="A236" s="64" t="s">
        <v>309</v>
      </c>
      <c r="B236" s="111" t="n">
        <f aca="false">ROUND(C236/$C$221*100,2)</f>
        <v>0</v>
      </c>
      <c r="C236" s="76"/>
      <c r="D236" s="76"/>
    </row>
    <row r="237" customFormat="false" ht="13.8" hidden="false" customHeight="false" outlineLevel="0" collapsed="false">
      <c r="A237" s="64" t="s">
        <v>310</v>
      </c>
      <c r="B237" s="111" t="n">
        <f aca="false">ROUND(C237/$C$221*100,2)</f>
        <v>0</v>
      </c>
      <c r="C237" s="76"/>
      <c r="D237" s="76"/>
    </row>
    <row r="238" customFormat="false" ht="13.8" hidden="false" customHeight="false" outlineLevel="0" collapsed="false">
      <c r="A238" s="64" t="s">
        <v>311</v>
      </c>
      <c r="B238" s="111" t="n">
        <f aca="false">ROUND(C238/$C$221*100,2)</f>
        <v>0</v>
      </c>
      <c r="C238" s="76"/>
      <c r="D238" s="76"/>
    </row>
    <row r="239" customFormat="false" ht="13.8" hidden="false" customHeight="false" outlineLevel="0" collapsed="false">
      <c r="A239" s="64" t="s">
        <v>160</v>
      </c>
      <c r="B239" s="111" t="n">
        <f aca="false">ROUND(C239/$C$221*100,2)</f>
        <v>12.22</v>
      </c>
      <c r="C239" s="76" t="n">
        <v>43</v>
      </c>
      <c r="D239" s="76"/>
    </row>
    <row r="240" customFormat="false" ht="13.8" hidden="false" customHeight="false" outlineLevel="0" collapsed="false">
      <c r="A240" s="64" t="s">
        <v>312</v>
      </c>
      <c r="B240" s="111" t="n">
        <f aca="false">ROUND(C240/$C$221*100,2)</f>
        <v>0</v>
      </c>
      <c r="C240" s="76"/>
      <c r="D240" s="76"/>
    </row>
    <row r="241" customFormat="false" ht="13.8" hidden="false" customHeight="false" outlineLevel="0" collapsed="false">
      <c r="A241" s="64" t="s">
        <v>165</v>
      </c>
      <c r="B241" s="111" t="n">
        <f aca="false">ROUND(C241/$C$221*100,2)</f>
        <v>0</v>
      </c>
      <c r="C241" s="76"/>
      <c r="D241" s="76"/>
    </row>
    <row r="242" customFormat="false" ht="13.8" hidden="false" customHeight="false" outlineLevel="0" collapsed="false">
      <c r="A242" s="64" t="s">
        <v>169</v>
      </c>
      <c r="B242" s="111" t="n">
        <f aca="false">ROUND(C242/$C$221*100,2)</f>
        <v>0</v>
      </c>
      <c r="C242" s="76"/>
      <c r="D242" s="76"/>
    </row>
    <row r="243" customFormat="false" ht="13.8" hidden="false" customHeight="false" outlineLevel="0" collapsed="false">
      <c r="A243" s="64" t="s">
        <v>313</v>
      </c>
      <c r="B243" s="111" t="n">
        <f aca="false">ROUND(C243/$C$221*100,2)</f>
        <v>0</v>
      </c>
      <c r="C243" s="76"/>
      <c r="D243" s="76"/>
    </row>
    <row r="244" customFormat="false" ht="13.8" hidden="false" customHeight="false" outlineLevel="0" collapsed="false">
      <c r="A244" s="64" t="s">
        <v>174</v>
      </c>
      <c r="B244" s="111" t="n">
        <f aca="false">ROUND(C244/$C$221*100,2)</f>
        <v>1.42</v>
      </c>
      <c r="C244" s="76" t="n">
        <v>5</v>
      </c>
      <c r="D244" s="76"/>
    </row>
    <row r="245" customFormat="false" ht="13.8" hidden="false" customHeight="false" outlineLevel="0" collapsed="false">
      <c r="A245" s="64" t="s">
        <v>177</v>
      </c>
      <c r="B245" s="111" t="n">
        <f aca="false">ROUND(C245/$C$221*100,2)</f>
        <v>0</v>
      </c>
      <c r="C245" s="76"/>
      <c r="D245" s="76"/>
    </row>
    <row r="246" customFormat="false" ht="13.8" hidden="false" customHeight="false" outlineLevel="0" collapsed="false">
      <c r="A246" s="64" t="s">
        <v>180</v>
      </c>
      <c r="B246" s="111" t="n">
        <f aca="false">ROUND(C246/$C$221*100,2)</f>
        <v>0</v>
      </c>
      <c r="C246" s="76"/>
      <c r="D246" s="76"/>
    </row>
    <row r="247" customFormat="false" ht="13.8" hidden="false" customHeight="false" outlineLevel="0" collapsed="false">
      <c r="A247" s="64" t="s">
        <v>183</v>
      </c>
      <c r="B247" s="111" t="n">
        <f aca="false">ROUND(C247/$C$221*100,2)</f>
        <v>3.13</v>
      </c>
      <c r="C247" s="76" t="n">
        <v>11</v>
      </c>
      <c r="D247" s="76"/>
    </row>
    <row r="248" customFormat="false" ht="13.8" hidden="false" customHeight="false" outlineLevel="0" collapsed="false">
      <c r="A248" s="64" t="s">
        <v>186</v>
      </c>
      <c r="B248" s="111" t="n">
        <f aca="false">ROUND(C248/$C$221*100,2)</f>
        <v>0</v>
      </c>
      <c r="C248" s="76"/>
      <c r="D248" s="76"/>
    </row>
    <row r="249" customFormat="false" ht="13.8" hidden="false" customHeight="false" outlineLevel="0" collapsed="false">
      <c r="A249" s="64" t="s">
        <v>191</v>
      </c>
      <c r="B249" s="111" t="n">
        <f aca="false">ROUND(C249/$C$221*100,2)</f>
        <v>3.41</v>
      </c>
      <c r="C249" s="76" t="n">
        <v>12</v>
      </c>
      <c r="D249" s="76"/>
    </row>
    <row r="250" customFormat="false" ht="13.8" hidden="false" customHeight="false" outlineLevel="0" collapsed="false">
      <c r="A250" s="64" t="s">
        <v>194</v>
      </c>
      <c r="B250" s="111" t="n">
        <f aca="false">ROUND(C250/$C$221*100,2)</f>
        <v>7.95</v>
      </c>
      <c r="C250" s="76" t="n">
        <v>28</v>
      </c>
      <c r="D250" s="76"/>
    </row>
    <row r="251" customFormat="false" ht="13.8" hidden="false" customHeight="false" outlineLevel="0" collapsed="false">
      <c r="A251" s="64" t="s">
        <v>314</v>
      </c>
      <c r="B251" s="111" t="n">
        <f aca="false">ROUND(C251/$C$221*100,2)</f>
        <v>1.42</v>
      </c>
      <c r="C251" s="76" t="n">
        <v>5</v>
      </c>
      <c r="D251" s="76"/>
    </row>
    <row r="252" customFormat="false" ht="13.8" hidden="false" customHeight="false" outlineLevel="0" collapsed="false">
      <c r="A252" s="64" t="s">
        <v>315</v>
      </c>
      <c r="B252" s="111" t="n">
        <f aca="false">ROUND(C252/$C$221*100,2)</f>
        <v>0</v>
      </c>
      <c r="C252" s="76"/>
      <c r="D252" s="76"/>
    </row>
    <row r="253" customFormat="false" ht="13.8" hidden="false" customHeight="false" outlineLevel="0" collapsed="false">
      <c r="A253" s="64" t="s">
        <v>196</v>
      </c>
      <c r="B253" s="111" t="n">
        <f aca="false">ROUND(C253/$C$221*100,2)</f>
        <v>8.52</v>
      </c>
      <c r="C253" s="76" t="n">
        <v>30</v>
      </c>
      <c r="D253" s="76"/>
    </row>
    <row r="254" customFormat="false" ht="13.8" hidden="false" customHeight="false" outlineLevel="0" collapsed="false">
      <c r="A254" s="64" t="s">
        <v>200</v>
      </c>
      <c r="B254" s="111" t="n">
        <f aca="false">ROUND(C254/$C$221*100,2)</f>
        <v>1.7</v>
      </c>
      <c r="C254" s="76" t="n">
        <v>6</v>
      </c>
      <c r="D254" s="76"/>
    </row>
    <row r="255" customFormat="false" ht="13.8" hidden="false" customHeight="false" outlineLevel="0" collapsed="false">
      <c r="A255" s="64" t="s">
        <v>208</v>
      </c>
      <c r="B255" s="111" t="n">
        <f aca="false">ROUND(C255/$C$221*100,2)</f>
        <v>0</v>
      </c>
      <c r="C255" s="76"/>
      <c r="D255" s="76"/>
    </row>
    <row r="256" customFormat="false" ht="13.8" hidden="false" customHeight="false" outlineLevel="0" collapsed="false">
      <c r="A256" s="64" t="s">
        <v>316</v>
      </c>
      <c r="B256" s="111" t="n">
        <f aca="false">ROUND(C256/$C$221*100,2)</f>
        <v>0</v>
      </c>
      <c r="C256" s="76"/>
      <c r="D256" s="76"/>
    </row>
    <row r="257" customFormat="false" ht="13.8" hidden="false" customHeight="false" outlineLevel="0" collapsed="false">
      <c r="A257" s="64" t="s">
        <v>211</v>
      </c>
      <c r="B257" s="111" t="n">
        <f aca="false">ROUND(C257/$C$221*100,2)</f>
        <v>0</v>
      </c>
      <c r="C257" s="76"/>
      <c r="D257" s="76"/>
    </row>
    <row r="258" customFormat="false" ht="13.8" hidden="false" customHeight="false" outlineLevel="0" collapsed="false">
      <c r="A258" s="64" t="s">
        <v>317</v>
      </c>
      <c r="B258" s="111" t="n">
        <f aca="false">ROUND(C258/$C$221*100,2)</f>
        <v>0</v>
      </c>
      <c r="C258" s="76"/>
      <c r="D258" s="76"/>
    </row>
    <row r="259" customFormat="false" ht="13.8" hidden="false" customHeight="false" outlineLevel="0" collapsed="false">
      <c r="A259" s="64" t="s">
        <v>213</v>
      </c>
      <c r="B259" s="111" t="n">
        <f aca="false">ROUND(C259/$C$221*100,2)</f>
        <v>0</v>
      </c>
      <c r="C259" s="76"/>
      <c r="D259" s="76"/>
    </row>
    <row r="260" customFormat="false" ht="13.8" hidden="false" customHeight="false" outlineLevel="0" collapsed="false">
      <c r="A260" s="64" t="s">
        <v>318</v>
      </c>
      <c r="B260" s="111" t="n">
        <f aca="false">ROUND(C260/$C$221*100,2)</f>
        <v>0</v>
      </c>
      <c r="C260" s="76"/>
      <c r="D260" s="76"/>
    </row>
    <row r="261" customFormat="false" ht="13.8" hidden="false" customHeight="false" outlineLevel="0" collapsed="false">
      <c r="A261" s="64" t="s">
        <v>319</v>
      </c>
      <c r="B261" s="111" t="n">
        <f aca="false">ROUND(C261/$C$221*100,2)</f>
        <v>0</v>
      </c>
      <c r="C261" s="76"/>
      <c r="D261" s="76"/>
    </row>
    <row r="262" customFormat="false" ht="13.8" hidden="false" customHeight="false" outlineLevel="0" collapsed="false">
      <c r="A262" s="64" t="s">
        <v>215</v>
      </c>
      <c r="B262" s="111" t="n">
        <f aca="false">ROUND(C262/$C$221*100,2)</f>
        <v>0</v>
      </c>
      <c r="C262" s="76"/>
      <c r="D262" s="76"/>
    </row>
    <row r="263" customFormat="false" ht="13.8" hidden="false" customHeight="false" outlineLevel="0" collapsed="false">
      <c r="A263" s="64" t="s">
        <v>219</v>
      </c>
      <c r="B263" s="111" t="n">
        <f aca="false">ROUND(C263/$C$221*100,2)</f>
        <v>12.78</v>
      </c>
      <c r="C263" s="76" t="n">
        <v>45</v>
      </c>
      <c r="D263" s="76"/>
    </row>
    <row r="264" customFormat="false" ht="13.8" hidden="false" customHeight="false" outlineLevel="0" collapsed="false">
      <c r="A264" s="64" t="s">
        <v>320</v>
      </c>
      <c r="B264" s="111" t="n">
        <f aca="false">ROUND(C264/$C$221*100,2)</f>
        <v>0</v>
      </c>
      <c r="C264" s="76"/>
      <c r="D264" s="76"/>
    </row>
    <row r="265" customFormat="false" ht="13.8" hidden="false" customHeight="false" outlineLevel="0" collapsed="false">
      <c r="A265" s="64" t="s">
        <v>222</v>
      </c>
      <c r="B265" s="111" t="n">
        <f aca="false">ROUND(C265/$C$221*100,2)</f>
        <v>3.13</v>
      </c>
      <c r="C265" s="76" t="n">
        <v>11</v>
      </c>
      <c r="D265" s="76"/>
    </row>
    <row r="266" customFormat="false" ht="13.8" hidden="false" customHeight="false" outlineLevel="0" collapsed="false">
      <c r="A266" s="64" t="s">
        <v>224</v>
      </c>
      <c r="B266" s="111" t="n">
        <f aca="false">ROUND(C266/$C$221*100,2)</f>
        <v>0</v>
      </c>
      <c r="C266" s="76"/>
      <c r="D266" s="76"/>
    </row>
    <row r="267" customFormat="false" ht="13.8" hidden="false" customHeight="false" outlineLevel="0" collapsed="false">
      <c r="A267" s="64" t="s">
        <v>227</v>
      </c>
      <c r="B267" s="111" t="n">
        <f aca="false">ROUND(C267/$C$221*100,2)</f>
        <v>4.26</v>
      </c>
      <c r="C267" s="76" t="n">
        <v>15</v>
      </c>
      <c r="D267" s="76"/>
    </row>
    <row r="268" customFormat="false" ht="13.8" hidden="false" customHeight="false" outlineLevel="0" collapsed="false">
      <c r="A268" s="64" t="s">
        <v>230</v>
      </c>
      <c r="B268" s="111" t="n">
        <f aca="false">ROUND(C268/$C$221*100,2)</f>
        <v>2.84</v>
      </c>
      <c r="C268" s="76" t="n">
        <v>10</v>
      </c>
      <c r="D268" s="76"/>
    </row>
    <row r="269" customFormat="false" ht="13.8" hidden="false" customHeight="false" outlineLevel="0" collapsed="false">
      <c r="A269" s="64" t="s">
        <v>321</v>
      </c>
      <c r="B269" s="111" t="n">
        <f aca="false">ROUND(C269/$C$221*100,2)</f>
        <v>0</v>
      </c>
      <c r="C269" s="76"/>
      <c r="D269" s="76"/>
    </row>
    <row r="270" customFormat="false" ht="13.8" hidden="false" customHeight="false" outlineLevel="0" collapsed="false">
      <c r="A270" s="64" t="s">
        <v>322</v>
      </c>
      <c r="B270" s="111" t="n">
        <f aca="false">ROUND(C270/$C$221*100,2)</f>
        <v>0</v>
      </c>
      <c r="C270" s="76"/>
      <c r="D270" s="76"/>
    </row>
    <row r="271" customFormat="false" ht="13.8" hidden="false" customHeight="false" outlineLevel="0" collapsed="false">
      <c r="A271" s="64" t="s">
        <v>323</v>
      </c>
      <c r="B271" s="111" t="n">
        <f aca="false">ROUND(C271/$C$221*100,2)</f>
        <v>0</v>
      </c>
      <c r="C271" s="76"/>
      <c r="D271" s="76"/>
    </row>
    <row r="272" customFormat="false" ht="13.8" hidden="false" customHeight="false" outlineLevel="0" collapsed="false">
      <c r="A272" s="64" t="s">
        <v>324</v>
      </c>
      <c r="B272" s="111" t="n">
        <f aca="false">ROUND(C272/$C$221*100,2)</f>
        <v>0</v>
      </c>
      <c r="C272" s="76"/>
      <c r="D272" s="76"/>
    </row>
    <row r="273" customFormat="false" ht="13.8" hidden="false" customHeight="false" outlineLevel="0" collapsed="false">
      <c r="A273" s="64" t="s">
        <v>237</v>
      </c>
      <c r="B273" s="111" t="n">
        <f aca="false">ROUND(C273/$C$221*100,2)</f>
        <v>0</v>
      </c>
      <c r="C273" s="76"/>
      <c r="D273" s="76"/>
    </row>
    <row r="274" customFormat="false" ht="13.8" hidden="false" customHeight="false" outlineLevel="0" collapsed="false">
      <c r="A274" s="64" t="s">
        <v>239</v>
      </c>
      <c r="B274" s="111" t="n">
        <f aca="false">ROUND(C274/$C$221*100,2)</f>
        <v>7.39</v>
      </c>
      <c r="C274" s="76" t="n">
        <v>26</v>
      </c>
      <c r="D274" s="76"/>
    </row>
    <row r="275" customFormat="false" ht="13.8" hidden="false" customHeight="false" outlineLevel="0" collapsed="false">
      <c r="A275" s="64" t="s">
        <v>241</v>
      </c>
      <c r="B275" s="111" t="n">
        <f aca="false">ROUND(C275/$C$221*100,2)</f>
        <v>0</v>
      </c>
      <c r="C275" s="76"/>
      <c r="D275" s="76"/>
    </row>
    <row r="276" customFormat="false" ht="13.8" hidden="false" customHeight="false" outlineLevel="0" collapsed="false">
      <c r="A276" s="64" t="s">
        <v>325</v>
      </c>
      <c r="B276" s="111" t="n">
        <f aca="false">ROUND(C276/$C$221*100,2)</f>
        <v>0</v>
      </c>
      <c r="C276" s="76"/>
      <c r="D276" s="76"/>
    </row>
    <row r="277" customFormat="false" ht="13.8" hidden="false" customHeight="false" outlineLevel="0" collapsed="false">
      <c r="A277" s="64" t="s">
        <v>245</v>
      </c>
      <c r="B277" s="111" t="n">
        <f aca="false">ROUND(C277/$C$221*100,2)</f>
        <v>0</v>
      </c>
      <c r="C277" s="76"/>
      <c r="D277" s="76"/>
    </row>
    <row r="278" customFormat="false" ht="13.8" hidden="false" customHeight="false" outlineLevel="0" collapsed="false">
      <c r="A278" s="64" t="s">
        <v>252</v>
      </c>
      <c r="B278" s="111" t="n">
        <f aca="false">ROUND(C278/$C$221*100,2)</f>
        <v>2.84</v>
      </c>
      <c r="C278" s="76" t="n">
        <v>10</v>
      </c>
      <c r="D278" s="76"/>
    </row>
    <row r="279" customFormat="false" ht="13.8" hidden="false" customHeight="false" outlineLevel="0" collapsed="false">
      <c r="A279" s="64" t="s">
        <v>259</v>
      </c>
      <c r="B279" s="111" t="n">
        <f aca="false">ROUND(C279/$C$221*100,2)</f>
        <v>14.77</v>
      </c>
      <c r="C279" s="76" t="n">
        <v>52</v>
      </c>
      <c r="D279" s="76"/>
    </row>
    <row r="280" customFormat="false" ht="13.8" hidden="false" customHeight="false" outlineLevel="0" collapsed="false">
      <c r="A280" s="64" t="s">
        <v>326</v>
      </c>
      <c r="B280" s="111" t="n">
        <f aca="false">ROUND(C280/$C$221*100,2)</f>
        <v>0</v>
      </c>
      <c r="C280" s="76"/>
      <c r="D280" s="76"/>
    </row>
    <row r="281" customFormat="false" ht="13.8" hidden="false" customHeight="false" outlineLevel="0" collapsed="false">
      <c r="A281" s="110" t="s">
        <v>327</v>
      </c>
      <c r="B281" s="111" t="n">
        <f aca="false">SUM(B233:B280)</f>
        <v>87.78</v>
      </c>
      <c r="C281" s="76"/>
      <c r="D281" s="76"/>
    </row>
    <row r="282" customFormat="false" ht="13.8" hidden="false" customHeight="false" outlineLevel="0" collapsed="false">
      <c r="A282" s="64" t="s">
        <v>328</v>
      </c>
      <c r="B282" s="111" t="n">
        <f aca="false">ROUND(C282/$C$221*100,2)</f>
        <v>3.41</v>
      </c>
      <c r="C282" s="76" t="n">
        <v>12</v>
      </c>
      <c r="D282" s="76"/>
    </row>
    <row r="283" customFormat="false" ht="13.8" hidden="false" customHeight="false" outlineLevel="0" collapsed="false">
      <c r="A283" s="64" t="s">
        <v>329</v>
      </c>
      <c r="B283" s="111" t="n">
        <f aca="false">ROUND(C283/$C$221*100,2)</f>
        <v>3.13</v>
      </c>
      <c r="C283" s="76" t="n">
        <v>11</v>
      </c>
      <c r="D283" s="76"/>
    </row>
    <row r="284" customFormat="false" ht="13.8" hidden="false" customHeight="false" outlineLevel="0" collapsed="false">
      <c r="A284" s="64" t="s">
        <v>330</v>
      </c>
      <c r="B284" s="111" t="n">
        <f aca="false">ROUND(C284/$C$221*100,2)</f>
        <v>4.26</v>
      </c>
      <c r="C284" s="76" t="n">
        <v>15</v>
      </c>
      <c r="D284" s="76"/>
    </row>
    <row r="285" customFormat="false" ht="13.8" hidden="false" customHeight="false" outlineLevel="0" collapsed="false">
      <c r="A285" s="64" t="s">
        <v>331</v>
      </c>
      <c r="B285" s="111" t="n">
        <f aca="false">ROUND(C285/$C$221*100,2)</f>
        <v>0</v>
      </c>
      <c r="C285" s="76"/>
      <c r="D285" s="76"/>
    </row>
    <row r="286" customFormat="false" ht="13.8" hidden="false" customHeight="false" outlineLevel="0" collapsed="false">
      <c r="A286" s="64" t="s">
        <v>332</v>
      </c>
      <c r="B286" s="111" t="n">
        <f aca="false">ROUND(C286/$C$221*100,2)</f>
        <v>1.42</v>
      </c>
      <c r="C286" s="76" t="n">
        <v>5</v>
      </c>
      <c r="D286" s="76"/>
    </row>
    <row r="287" customFormat="false" ht="13.8" hidden="false" customHeight="false" outlineLevel="0" collapsed="false">
      <c r="A287" s="64" t="s">
        <v>333</v>
      </c>
      <c r="B287" s="111" t="n">
        <f aca="false">ROUND(C287/$C$221*100,2)</f>
        <v>0</v>
      </c>
      <c r="C287" s="76"/>
      <c r="D287" s="76"/>
    </row>
    <row r="288" customFormat="false" ht="13.8" hidden="false" customHeight="false" outlineLevel="0" collapsed="false">
      <c r="A288" s="64"/>
      <c r="B288" s="111"/>
      <c r="C288" s="76"/>
      <c r="D288" s="76"/>
    </row>
    <row r="289" customFormat="false" ht="13.8" hidden="false" customHeight="false" outlineLevel="0" collapsed="false">
      <c r="A289" s="64"/>
      <c r="B289" s="111"/>
      <c r="C289" s="76"/>
      <c r="D289" s="76"/>
    </row>
    <row r="290" customFormat="false" ht="13.8" hidden="false" customHeight="false" outlineLevel="0" collapsed="false">
      <c r="A290" s="64" t="s">
        <v>343</v>
      </c>
      <c r="B290" s="111"/>
      <c r="C290" s="76"/>
      <c r="D290" s="76"/>
    </row>
    <row r="291" customFormat="false" ht="13.8" hidden="false" customHeight="false" outlineLevel="0" collapsed="false">
      <c r="A291" s="64"/>
      <c r="B291" s="111"/>
      <c r="C291" s="76"/>
      <c r="D291" s="76"/>
    </row>
    <row r="292" customFormat="false" ht="24.4" hidden="false" customHeight="false" outlineLevel="0" collapsed="false">
      <c r="A292" s="102" t="s">
        <v>292</v>
      </c>
      <c r="B292" s="103" t="s">
        <v>293</v>
      </c>
      <c r="C292" s="31" t="s">
        <v>294</v>
      </c>
      <c r="D292" s="31" t="s">
        <v>334</v>
      </c>
    </row>
    <row r="293" customFormat="false" ht="24.4" hidden="false" customHeight="false" outlineLevel="0" collapsed="false">
      <c r="A293" s="106" t="s">
        <v>355</v>
      </c>
      <c r="B293" s="61" t="s">
        <v>336</v>
      </c>
      <c r="C293" s="76" t="n">
        <f aca="false">+D293</f>
        <v>133</v>
      </c>
      <c r="D293" s="76" t="n">
        <v>133</v>
      </c>
    </row>
    <row r="294" customFormat="false" ht="13.8" hidden="false" customHeight="false" outlineLevel="0" collapsed="false">
      <c r="A294" s="104"/>
      <c r="B294" s="61"/>
      <c r="C294" s="76"/>
      <c r="D294" s="76"/>
    </row>
    <row r="295" customFormat="false" ht="24.4" hidden="false" customHeight="false" outlineLevel="0" collapsed="false">
      <c r="A295" s="105" t="s">
        <v>299</v>
      </c>
      <c r="B295" s="103" t="s">
        <v>300</v>
      </c>
      <c r="C295" s="31" t="s">
        <v>301</v>
      </c>
      <c r="D295" s="31" t="s">
        <v>337</v>
      </c>
    </row>
    <row r="296" customFormat="false" ht="13.8" hidden="false" customHeight="false" outlineLevel="0" collapsed="false">
      <c r="A296" s="106" t="s">
        <v>159</v>
      </c>
      <c r="B296" s="108" t="n">
        <f aca="false">ROUND(D296/$C$293*100,2)</f>
        <v>81.2</v>
      </c>
      <c r="C296" s="112" t="s">
        <v>339</v>
      </c>
      <c r="D296" s="107" t="n">
        <v>108</v>
      </c>
    </row>
    <row r="297" customFormat="false" ht="13.8" hidden="false" customHeight="false" outlineLevel="0" collapsed="false">
      <c r="A297" s="106" t="s">
        <v>189</v>
      </c>
      <c r="B297" s="108"/>
      <c r="C297" s="107"/>
      <c r="D297" s="107"/>
    </row>
    <row r="298" customFormat="false" ht="23.25" hidden="false" customHeight="false" outlineLevel="0" collapsed="false">
      <c r="A298" s="106" t="s">
        <v>163</v>
      </c>
      <c r="B298" s="108" t="n">
        <f aca="false">ROUND(D298/$C$293*100,2)</f>
        <v>11.28</v>
      </c>
      <c r="C298" s="112" t="s">
        <v>356</v>
      </c>
      <c r="D298" s="107" t="n">
        <v>15</v>
      </c>
    </row>
    <row r="299" customFormat="false" ht="13.8" hidden="false" customHeight="false" outlineLevel="0" collapsed="false">
      <c r="A299" s="106" t="s">
        <v>171</v>
      </c>
      <c r="B299" s="108"/>
      <c r="C299" s="112"/>
      <c r="D299" s="107"/>
    </row>
    <row r="300" customFormat="false" ht="23.25" hidden="false" customHeight="false" outlineLevel="0" collapsed="false">
      <c r="A300" s="106" t="s">
        <v>342</v>
      </c>
      <c r="B300" s="108" t="n">
        <f aca="false">ROUND(D300/$C$293*100,2)</f>
        <v>7.52</v>
      </c>
      <c r="C300" s="112" t="s">
        <v>357</v>
      </c>
      <c r="D300" s="107" t="n">
        <v>10</v>
      </c>
    </row>
    <row r="301" customFormat="false" ht="13.8" hidden="false" customHeight="false" outlineLevel="0" collapsed="false">
      <c r="A301" s="106"/>
      <c r="B301" s="108"/>
      <c r="C301" s="107"/>
      <c r="D301" s="107"/>
    </row>
    <row r="302" customFormat="false" ht="13.8" hidden="false" customHeight="false" outlineLevel="0" collapsed="false">
      <c r="A302" s="106"/>
      <c r="B302" s="108"/>
      <c r="C302" s="107"/>
      <c r="D302" s="107"/>
    </row>
    <row r="303" customFormat="false" ht="13.8" hidden="false" customHeight="false" outlineLevel="0" collapsed="false">
      <c r="A303" s="106"/>
      <c r="B303" s="108"/>
      <c r="C303" s="107"/>
      <c r="D303" s="107"/>
    </row>
    <row r="304" customFormat="false" ht="13.8" hidden="false" customHeight="false" outlineLevel="0" collapsed="false">
      <c r="A304" s="105" t="s">
        <v>304</v>
      </c>
      <c r="B304" s="103" t="s">
        <v>305</v>
      </c>
      <c r="C304" s="31" t="s">
        <v>337</v>
      </c>
      <c r="D304" s="107"/>
    </row>
    <row r="305" customFormat="false" ht="13.8" hidden="false" customHeight="false" outlineLevel="0" collapsed="false">
      <c r="A305" s="64" t="s">
        <v>306</v>
      </c>
      <c r="B305" s="108"/>
      <c r="C305" s="76"/>
      <c r="D305" s="76"/>
    </row>
    <row r="306" customFormat="false" ht="13.8" hidden="false" customHeight="false" outlineLevel="0" collapsed="false">
      <c r="A306" s="64" t="s">
        <v>307</v>
      </c>
      <c r="B306" s="111"/>
      <c r="C306" s="76"/>
      <c r="D306" s="76"/>
    </row>
    <row r="307" customFormat="false" ht="13.8" hidden="false" customHeight="false" outlineLevel="0" collapsed="false">
      <c r="A307" s="64" t="s">
        <v>308</v>
      </c>
      <c r="B307" s="111"/>
      <c r="C307" s="76"/>
      <c r="D307" s="76"/>
    </row>
    <row r="308" customFormat="false" ht="13.8" hidden="false" customHeight="false" outlineLevel="0" collapsed="false">
      <c r="A308" s="64" t="s">
        <v>309</v>
      </c>
      <c r="B308" s="111"/>
      <c r="C308" s="76"/>
      <c r="D308" s="76"/>
    </row>
    <row r="309" customFormat="false" ht="13.8" hidden="false" customHeight="false" outlineLevel="0" collapsed="false">
      <c r="A309" s="64" t="s">
        <v>310</v>
      </c>
      <c r="B309" s="111"/>
      <c r="C309" s="76"/>
      <c r="D309" s="76"/>
    </row>
    <row r="310" customFormat="false" ht="13.8" hidden="false" customHeight="false" outlineLevel="0" collapsed="false">
      <c r="A310" s="64" t="s">
        <v>311</v>
      </c>
      <c r="B310" s="111"/>
      <c r="C310" s="76"/>
      <c r="D310" s="76"/>
    </row>
    <row r="311" customFormat="false" ht="13.8" hidden="false" customHeight="false" outlineLevel="0" collapsed="false">
      <c r="A311" s="64" t="s">
        <v>160</v>
      </c>
      <c r="B311" s="111"/>
      <c r="C311" s="76"/>
      <c r="D311" s="76"/>
    </row>
    <row r="312" customFormat="false" ht="13.8" hidden="false" customHeight="false" outlineLevel="0" collapsed="false">
      <c r="A312" s="64" t="s">
        <v>312</v>
      </c>
      <c r="B312" s="111"/>
      <c r="C312" s="76"/>
      <c r="D312" s="76"/>
    </row>
    <row r="313" customFormat="false" ht="13.8" hidden="false" customHeight="false" outlineLevel="0" collapsed="false">
      <c r="A313" s="64" t="s">
        <v>165</v>
      </c>
      <c r="B313" s="111" t="n">
        <f aca="false">ROUND(C313/$C$293*100,2)</f>
        <v>7.52</v>
      </c>
      <c r="C313" s="76" t="n">
        <v>10</v>
      </c>
      <c r="D313" s="76"/>
    </row>
    <row r="314" customFormat="false" ht="13.8" hidden="false" customHeight="false" outlineLevel="0" collapsed="false">
      <c r="A314" s="64" t="s">
        <v>169</v>
      </c>
      <c r="B314" s="111"/>
      <c r="C314" s="76"/>
      <c r="D314" s="76"/>
    </row>
    <row r="315" customFormat="false" ht="13.8" hidden="false" customHeight="false" outlineLevel="0" collapsed="false">
      <c r="A315" s="64" t="s">
        <v>313</v>
      </c>
      <c r="B315" s="111"/>
      <c r="C315" s="76"/>
      <c r="D315" s="76"/>
    </row>
    <row r="316" customFormat="false" ht="13.8" hidden="false" customHeight="false" outlineLevel="0" collapsed="false">
      <c r="A316" s="64" t="s">
        <v>174</v>
      </c>
      <c r="B316" s="111"/>
      <c r="C316" s="76"/>
      <c r="D316" s="76"/>
    </row>
    <row r="317" customFormat="false" ht="13.8" hidden="false" customHeight="false" outlineLevel="0" collapsed="false">
      <c r="A317" s="64" t="s">
        <v>177</v>
      </c>
      <c r="B317" s="111"/>
      <c r="C317" s="76"/>
      <c r="D317" s="76"/>
    </row>
    <row r="318" customFormat="false" ht="13.8" hidden="false" customHeight="false" outlineLevel="0" collapsed="false">
      <c r="A318" s="64" t="s">
        <v>180</v>
      </c>
      <c r="B318" s="111" t="n">
        <f aca="false">ROUND(C318/$C$293*100,2)</f>
        <v>3.76</v>
      </c>
      <c r="C318" s="76" t="n">
        <v>5</v>
      </c>
      <c r="D318" s="76"/>
    </row>
    <row r="319" customFormat="false" ht="13.8" hidden="false" customHeight="false" outlineLevel="0" collapsed="false">
      <c r="A319" s="64" t="s">
        <v>183</v>
      </c>
      <c r="B319" s="111"/>
      <c r="C319" s="76"/>
      <c r="D319" s="76"/>
    </row>
    <row r="320" customFormat="false" ht="13.8" hidden="false" customHeight="false" outlineLevel="0" collapsed="false">
      <c r="A320" s="64" t="s">
        <v>186</v>
      </c>
      <c r="B320" s="111"/>
      <c r="C320" s="76"/>
      <c r="D320" s="76"/>
    </row>
    <row r="321" customFormat="false" ht="13.8" hidden="false" customHeight="false" outlineLevel="0" collapsed="false">
      <c r="A321" s="64" t="s">
        <v>191</v>
      </c>
      <c r="B321" s="111" t="n">
        <f aca="false">ROUND(C321/$C$293*100,2)</f>
        <v>11.28</v>
      </c>
      <c r="C321" s="76" t="n">
        <v>15</v>
      </c>
      <c r="D321" s="76"/>
    </row>
    <row r="322" customFormat="false" ht="13.8" hidden="false" customHeight="false" outlineLevel="0" collapsed="false">
      <c r="A322" s="64" t="s">
        <v>194</v>
      </c>
      <c r="B322" s="111"/>
      <c r="C322" s="76"/>
      <c r="D322" s="76"/>
    </row>
    <row r="323" customFormat="false" ht="13.8" hidden="false" customHeight="false" outlineLevel="0" collapsed="false">
      <c r="A323" s="64" t="s">
        <v>314</v>
      </c>
      <c r="B323" s="111"/>
      <c r="C323" s="76"/>
      <c r="D323" s="76"/>
    </row>
    <row r="324" customFormat="false" ht="13.8" hidden="false" customHeight="false" outlineLevel="0" collapsed="false">
      <c r="A324" s="64" t="s">
        <v>315</v>
      </c>
      <c r="B324" s="111"/>
      <c r="C324" s="76"/>
      <c r="D324" s="76"/>
    </row>
    <row r="325" customFormat="false" ht="13.8" hidden="false" customHeight="false" outlineLevel="0" collapsed="false">
      <c r="A325" s="64" t="s">
        <v>196</v>
      </c>
      <c r="B325" s="111" t="n">
        <f aca="false">ROUND(C325/$C$293*100,2)</f>
        <v>3.76</v>
      </c>
      <c r="C325" s="76" t="n">
        <v>5</v>
      </c>
      <c r="D325" s="76"/>
    </row>
    <row r="326" customFormat="false" ht="13.8" hidden="false" customHeight="false" outlineLevel="0" collapsed="false">
      <c r="A326" s="64" t="s">
        <v>200</v>
      </c>
      <c r="B326" s="111" t="n">
        <f aca="false">ROUND(C326/$C$293*100,2)</f>
        <v>54.89</v>
      </c>
      <c r="C326" s="76" t="n">
        <v>73</v>
      </c>
      <c r="D326" s="76"/>
    </row>
    <row r="327" customFormat="false" ht="13.8" hidden="false" customHeight="false" outlineLevel="0" collapsed="false">
      <c r="A327" s="64" t="s">
        <v>208</v>
      </c>
      <c r="B327" s="111"/>
      <c r="C327" s="76"/>
      <c r="D327" s="76"/>
    </row>
    <row r="328" customFormat="false" ht="13.8" hidden="false" customHeight="false" outlineLevel="0" collapsed="false">
      <c r="A328" s="64" t="s">
        <v>316</v>
      </c>
      <c r="B328" s="111"/>
      <c r="C328" s="76"/>
      <c r="D328" s="76"/>
    </row>
    <row r="329" customFormat="false" ht="13.8" hidden="false" customHeight="false" outlineLevel="0" collapsed="false">
      <c r="A329" s="64" t="s">
        <v>211</v>
      </c>
      <c r="B329" s="111"/>
      <c r="C329" s="76"/>
      <c r="D329" s="76"/>
    </row>
    <row r="330" customFormat="false" ht="13.8" hidden="false" customHeight="false" outlineLevel="0" collapsed="false">
      <c r="A330" s="64" t="s">
        <v>317</v>
      </c>
      <c r="B330" s="111"/>
      <c r="C330" s="76"/>
      <c r="D330" s="76"/>
    </row>
    <row r="331" customFormat="false" ht="13.8" hidden="false" customHeight="false" outlineLevel="0" collapsed="false">
      <c r="A331" s="64" t="s">
        <v>213</v>
      </c>
      <c r="B331" s="111"/>
      <c r="C331" s="76"/>
      <c r="D331" s="76"/>
    </row>
    <row r="332" customFormat="false" ht="13.8" hidden="false" customHeight="false" outlineLevel="0" collapsed="false">
      <c r="A332" s="64" t="s">
        <v>318</v>
      </c>
      <c r="B332" s="111"/>
      <c r="C332" s="76"/>
      <c r="D332" s="76"/>
    </row>
    <row r="333" customFormat="false" ht="13.8" hidden="false" customHeight="false" outlineLevel="0" collapsed="false">
      <c r="A333" s="64" t="s">
        <v>319</v>
      </c>
      <c r="B333" s="111"/>
      <c r="C333" s="76"/>
      <c r="D333" s="76"/>
    </row>
    <row r="334" customFormat="false" ht="13.8" hidden="false" customHeight="false" outlineLevel="0" collapsed="false">
      <c r="A334" s="64" t="s">
        <v>215</v>
      </c>
      <c r="B334" s="111"/>
      <c r="C334" s="76"/>
      <c r="D334" s="76"/>
    </row>
    <row r="335" customFormat="false" ht="13.8" hidden="false" customHeight="false" outlineLevel="0" collapsed="false">
      <c r="A335" s="64" t="s">
        <v>219</v>
      </c>
      <c r="B335" s="111" t="n">
        <f aca="false">ROUND(C335/$C$293*100,2)</f>
        <v>7.52</v>
      </c>
      <c r="C335" s="76" t="n">
        <v>10</v>
      </c>
      <c r="D335" s="76"/>
    </row>
    <row r="336" customFormat="false" ht="13.8" hidden="false" customHeight="false" outlineLevel="0" collapsed="false">
      <c r="A336" s="64" t="s">
        <v>320</v>
      </c>
      <c r="B336" s="111"/>
      <c r="C336" s="76"/>
      <c r="D336" s="76"/>
    </row>
    <row r="337" customFormat="false" ht="13.8" hidden="false" customHeight="false" outlineLevel="0" collapsed="false">
      <c r="A337" s="64" t="s">
        <v>222</v>
      </c>
      <c r="B337" s="111"/>
      <c r="C337" s="76"/>
      <c r="D337" s="76"/>
    </row>
    <row r="338" customFormat="false" ht="13.8" hidden="false" customHeight="false" outlineLevel="0" collapsed="false">
      <c r="A338" s="64" t="s">
        <v>224</v>
      </c>
      <c r="B338" s="111"/>
      <c r="C338" s="76"/>
      <c r="D338" s="76"/>
    </row>
    <row r="339" customFormat="false" ht="13.8" hidden="false" customHeight="false" outlineLevel="0" collapsed="false">
      <c r="A339" s="64" t="s">
        <v>227</v>
      </c>
      <c r="B339" s="111" t="n">
        <f aca="false">ROUND(C339/$C$293*100,2)</f>
        <v>3.76</v>
      </c>
      <c r="C339" s="76" t="n">
        <v>5</v>
      </c>
      <c r="D339" s="76"/>
    </row>
    <row r="340" customFormat="false" ht="13.8" hidden="false" customHeight="false" outlineLevel="0" collapsed="false">
      <c r="A340" s="64" t="s">
        <v>230</v>
      </c>
      <c r="B340" s="111" t="n">
        <f aca="false">ROUND(C340/$C$293*100,2)</f>
        <v>7.52</v>
      </c>
      <c r="C340" s="76" t="n">
        <v>10</v>
      </c>
      <c r="D340" s="76"/>
    </row>
    <row r="341" customFormat="false" ht="13.8" hidden="false" customHeight="false" outlineLevel="0" collapsed="false">
      <c r="A341" s="64" t="s">
        <v>321</v>
      </c>
      <c r="B341" s="111"/>
      <c r="C341" s="76"/>
      <c r="D341" s="76"/>
    </row>
    <row r="342" customFormat="false" ht="13.8" hidden="false" customHeight="false" outlineLevel="0" collapsed="false">
      <c r="A342" s="64" t="s">
        <v>322</v>
      </c>
      <c r="B342" s="111"/>
      <c r="C342" s="76"/>
      <c r="D342" s="76"/>
    </row>
    <row r="343" customFormat="false" ht="13.8" hidden="false" customHeight="false" outlineLevel="0" collapsed="false">
      <c r="A343" s="64" t="s">
        <v>323</v>
      </c>
      <c r="B343" s="111"/>
      <c r="C343" s="76"/>
      <c r="D343" s="76"/>
    </row>
    <row r="344" customFormat="false" ht="13.8" hidden="false" customHeight="false" outlineLevel="0" collapsed="false">
      <c r="A344" s="64" t="s">
        <v>324</v>
      </c>
      <c r="B344" s="111"/>
      <c r="C344" s="76"/>
      <c r="D344" s="76"/>
    </row>
    <row r="345" customFormat="false" ht="13.8" hidden="false" customHeight="false" outlineLevel="0" collapsed="false">
      <c r="A345" s="64" t="s">
        <v>237</v>
      </c>
      <c r="B345" s="111"/>
      <c r="C345" s="76"/>
      <c r="D345" s="76"/>
    </row>
    <row r="346" customFormat="false" ht="13.8" hidden="false" customHeight="false" outlineLevel="0" collapsed="false">
      <c r="A346" s="64" t="s">
        <v>239</v>
      </c>
      <c r="B346" s="111"/>
      <c r="C346" s="76"/>
      <c r="D346" s="76"/>
    </row>
    <row r="347" customFormat="false" ht="13.8" hidden="false" customHeight="false" outlineLevel="0" collapsed="false">
      <c r="A347" s="64" t="s">
        <v>241</v>
      </c>
      <c r="B347" s="111"/>
      <c r="C347" s="76"/>
      <c r="D347" s="76"/>
    </row>
    <row r="348" customFormat="false" ht="13.8" hidden="false" customHeight="false" outlineLevel="0" collapsed="false">
      <c r="A348" s="64" t="s">
        <v>325</v>
      </c>
      <c r="B348" s="111"/>
      <c r="C348" s="76"/>
      <c r="D348" s="76"/>
    </row>
    <row r="349" customFormat="false" ht="13.8" hidden="false" customHeight="false" outlineLevel="0" collapsed="false">
      <c r="A349" s="64" t="s">
        <v>245</v>
      </c>
      <c r="B349" s="111"/>
      <c r="C349" s="76"/>
      <c r="D349" s="76"/>
    </row>
    <row r="350" customFormat="false" ht="13.8" hidden="false" customHeight="false" outlineLevel="0" collapsed="false">
      <c r="A350" s="64" t="s">
        <v>252</v>
      </c>
      <c r="B350" s="111"/>
      <c r="C350" s="76"/>
      <c r="D350" s="76"/>
    </row>
    <row r="351" customFormat="false" ht="13.8" hidden="false" customHeight="false" outlineLevel="0" collapsed="false">
      <c r="A351" s="64" t="s">
        <v>259</v>
      </c>
      <c r="B351" s="111"/>
      <c r="C351" s="76"/>
      <c r="D351" s="76"/>
    </row>
    <row r="352" customFormat="false" ht="13.8" hidden="false" customHeight="false" outlineLevel="0" collapsed="false">
      <c r="A352" s="64" t="s">
        <v>326</v>
      </c>
      <c r="B352" s="111"/>
      <c r="C352" s="76"/>
      <c r="D352" s="76"/>
    </row>
    <row r="353" customFormat="false" ht="13.8" hidden="false" customHeight="false" outlineLevel="0" collapsed="false">
      <c r="A353" s="110" t="s">
        <v>327</v>
      </c>
      <c r="B353" s="111" t="n">
        <v>100</v>
      </c>
      <c r="C353" s="76"/>
      <c r="D353" s="76"/>
    </row>
    <row r="354" customFormat="false" ht="13.8" hidden="false" customHeight="false" outlineLevel="0" collapsed="false">
      <c r="A354" s="64" t="s">
        <v>328</v>
      </c>
      <c r="B354" s="111"/>
      <c r="C354" s="76"/>
      <c r="D354" s="76"/>
    </row>
    <row r="355" customFormat="false" ht="13.8" hidden="false" customHeight="false" outlineLevel="0" collapsed="false">
      <c r="A355" s="64" t="s">
        <v>329</v>
      </c>
      <c r="B355" s="111"/>
      <c r="C355" s="76"/>
      <c r="D355" s="76"/>
    </row>
    <row r="356" customFormat="false" ht="13.8" hidden="false" customHeight="false" outlineLevel="0" collapsed="false">
      <c r="A356" s="64" t="s">
        <v>330</v>
      </c>
      <c r="B356" s="111"/>
      <c r="C356" s="76"/>
      <c r="D356" s="76"/>
    </row>
    <row r="357" customFormat="false" ht="13.8" hidden="false" customHeight="false" outlineLevel="0" collapsed="false">
      <c r="A357" s="64" t="s">
        <v>331</v>
      </c>
      <c r="B357" s="111"/>
      <c r="C357" s="76"/>
      <c r="D357" s="76"/>
    </row>
    <row r="358" customFormat="false" ht="13.8" hidden="false" customHeight="false" outlineLevel="0" collapsed="false">
      <c r="A358" s="64" t="s">
        <v>332</v>
      </c>
      <c r="B358" s="111"/>
      <c r="C358" s="76"/>
      <c r="D358" s="76"/>
    </row>
    <row r="359" customFormat="false" ht="13.8" hidden="false" customHeight="false" outlineLevel="0" collapsed="false">
      <c r="A359" s="64" t="s">
        <v>333</v>
      </c>
      <c r="B359" s="111"/>
      <c r="C359" s="76"/>
      <c r="D359" s="76"/>
    </row>
    <row r="360" customFormat="false" ht="13.8" hidden="false" customHeight="false" outlineLevel="0" collapsed="false">
      <c r="A360" s="64"/>
      <c r="B360" s="111"/>
      <c r="C360" s="76"/>
      <c r="D360" s="76"/>
    </row>
    <row r="361" customFormat="false" ht="13.8" hidden="false" customHeight="false" outlineLevel="0" collapsed="false">
      <c r="A361" s="64" t="s">
        <v>343</v>
      </c>
      <c r="B361" s="111"/>
      <c r="C361" s="76"/>
      <c r="D361" s="76"/>
    </row>
    <row r="362" customFormat="false" ht="13.8" hidden="false" customHeight="false" outlineLevel="0" collapsed="false">
      <c r="A362" s="71" t="s">
        <v>358</v>
      </c>
    </row>
    <row r="363" customFormat="false" ht="13.8" hidden="false" customHeight="false" outlineLevel="0" collapsed="false">
      <c r="A363" s="71" t="s">
        <v>359</v>
      </c>
    </row>
    <row r="364" customFormat="false" ht="13.8" hidden="false" customHeight="false" outlineLevel="0" collapsed="false">
      <c r="A364" s="71" t="s">
        <v>360</v>
      </c>
    </row>
    <row r="365" customFormat="false" ht="13.8" hidden="false" customHeight="false" outlineLevel="0" collapsed="false">
      <c r="A365" s="71" t="s">
        <v>361</v>
      </c>
    </row>
    <row r="366" customFormat="false" ht="13.8" hidden="false" customHeight="false" outlineLevel="0" collapsed="false">
      <c r="A366" s="113" t="s">
        <v>362</v>
      </c>
    </row>
    <row r="367" customFormat="false" ht="13.8" hidden="false" customHeight="false" outlineLevel="0" collapsed="false">
      <c r="A367" s="113" t="s">
        <v>363</v>
      </c>
    </row>
    <row r="368" customFormat="false" ht="13.8" hidden="false" customHeight="false" outlineLevel="0" collapsed="false">
      <c r="A368" s="113"/>
    </row>
    <row r="370" customFormat="false" ht="15" hidden="false" customHeight="false" outlineLevel="0" collapsed="false">
      <c r="A370" s="90" t="s">
        <v>364</v>
      </c>
      <c r="B370" s="114"/>
      <c r="C370" s="84"/>
      <c r="D370" s="84"/>
      <c r="E370" s="84"/>
    </row>
    <row r="371" s="1" customFormat="true" ht="13.8" hidden="false" customHeight="false" outlineLevel="0" collapsed="false">
      <c r="A371" s="16" t="s">
        <v>365</v>
      </c>
      <c r="B371" s="100"/>
    </row>
    <row r="372" customFormat="false" ht="15" hidden="false" customHeight="true" outlineLevel="0" collapsed="false">
      <c r="A372" s="19" t="s">
        <v>9</v>
      </c>
      <c r="B372" s="101" t="s">
        <v>10</v>
      </c>
      <c r="E372" s="84"/>
    </row>
    <row r="373" customFormat="false" ht="13.8" hidden="false" customHeight="false" outlineLevel="0" collapsed="false">
      <c r="A373" s="60" t="n">
        <v>44378</v>
      </c>
      <c r="B373" s="61" t="s">
        <v>12</v>
      </c>
      <c r="E373" s="84"/>
    </row>
    <row r="374" customFormat="false" ht="54" hidden="false" customHeight="true" outlineLevel="0" collapsed="false">
      <c r="A374" s="102" t="s">
        <v>366</v>
      </c>
      <c r="B374" s="103" t="s">
        <v>367</v>
      </c>
      <c r="C374" s="31" t="s">
        <v>368</v>
      </c>
      <c r="D374" s="31" t="s">
        <v>369</v>
      </c>
      <c r="E374" s="31" t="s">
        <v>370</v>
      </c>
    </row>
    <row r="375" customFormat="false" ht="34.3" hidden="false" customHeight="false" outlineLevel="0" collapsed="false">
      <c r="A375" s="115" t="s">
        <v>371</v>
      </c>
      <c r="B375" s="116" t="n">
        <v>43290</v>
      </c>
      <c r="C375" s="117" t="s">
        <v>109</v>
      </c>
      <c r="D375" s="117" t="s">
        <v>372</v>
      </c>
      <c r="E375" s="117" t="n">
        <v>31</v>
      </c>
    </row>
    <row r="376" customFormat="false" ht="34.3" hidden="false" customHeight="false" outlineLevel="0" collapsed="false">
      <c r="A376" s="115" t="s">
        <v>373</v>
      </c>
      <c r="B376" s="116" t="n">
        <v>43389</v>
      </c>
      <c r="C376" s="117" t="n">
        <v>6</v>
      </c>
      <c r="D376" s="117" t="s">
        <v>372</v>
      </c>
      <c r="E376" s="117" t="n">
        <v>9</v>
      </c>
    </row>
    <row r="377" customFormat="false" ht="23.25" hidden="false" customHeight="false" outlineLevel="0" collapsed="false">
      <c r="A377" s="115" t="s">
        <v>374</v>
      </c>
      <c r="B377" s="116" t="n">
        <v>43180</v>
      </c>
      <c r="C377" s="117" t="n">
        <v>6</v>
      </c>
      <c r="D377" s="117" t="s">
        <v>372</v>
      </c>
      <c r="E377" s="117" t="n">
        <v>0</v>
      </c>
    </row>
    <row r="378" customFormat="false" ht="23.25" hidden="false" customHeight="false" outlineLevel="0" collapsed="false">
      <c r="A378" s="118" t="s">
        <v>375</v>
      </c>
      <c r="B378" s="116" t="n">
        <v>43949</v>
      </c>
      <c r="C378" s="117" t="n">
        <v>1</v>
      </c>
      <c r="D378" s="117" t="s">
        <v>372</v>
      </c>
      <c r="E378" s="117" t="n">
        <v>3</v>
      </c>
    </row>
    <row r="379" customFormat="false" ht="23.25" hidden="false" customHeight="false" outlineLevel="0" collapsed="false">
      <c r="A379" s="118" t="s">
        <v>376</v>
      </c>
      <c r="B379" s="116" t="n">
        <v>43916</v>
      </c>
      <c r="C379" s="117" t="n">
        <v>2</v>
      </c>
      <c r="D379" s="117" t="s">
        <v>372</v>
      </c>
      <c r="E379" s="117" t="n">
        <v>1</v>
      </c>
    </row>
    <row r="380" customFormat="false" ht="23.25" hidden="false" customHeight="false" outlineLevel="0" collapsed="false">
      <c r="A380" s="115" t="s">
        <v>377</v>
      </c>
      <c r="B380" s="116" t="n">
        <v>43225</v>
      </c>
      <c r="C380" s="117" t="n">
        <v>0</v>
      </c>
      <c r="D380" s="117" t="s">
        <v>372</v>
      </c>
      <c r="E380" s="117" t="n">
        <v>17</v>
      </c>
    </row>
    <row r="381" customFormat="false" ht="34.3" hidden="false" customHeight="false" outlineLevel="0" collapsed="false">
      <c r="A381" s="115" t="s">
        <v>378</v>
      </c>
      <c r="B381" s="116" t="n">
        <v>43263</v>
      </c>
      <c r="C381" s="117" t="n">
        <v>4</v>
      </c>
      <c r="D381" s="117" t="s">
        <v>372</v>
      </c>
      <c r="E381" s="117" t="n">
        <v>3</v>
      </c>
    </row>
    <row r="382" customFormat="false" ht="23.25" hidden="false" customHeight="false" outlineLevel="0" collapsed="false">
      <c r="A382" s="115" t="s">
        <v>379</v>
      </c>
      <c r="B382" s="116" t="n">
        <v>44370</v>
      </c>
      <c r="C382" s="117" t="s">
        <v>380</v>
      </c>
      <c r="D382" s="117" t="s">
        <v>280</v>
      </c>
      <c r="E382" s="117" t="s">
        <v>109</v>
      </c>
    </row>
    <row r="383" customFormat="false" ht="23.25" hidden="false" customHeight="false" outlineLevel="0" collapsed="false">
      <c r="A383" s="118" t="s">
        <v>381</v>
      </c>
      <c r="B383" s="116" t="n">
        <v>43951</v>
      </c>
      <c r="C383" s="117" t="n">
        <v>4</v>
      </c>
      <c r="D383" s="117" t="s">
        <v>372</v>
      </c>
      <c r="E383" s="117" t="n">
        <v>1</v>
      </c>
    </row>
    <row r="384" customFormat="false" ht="34.3" hidden="false" customHeight="false" outlineLevel="0" collapsed="false">
      <c r="A384" s="118" t="s">
        <v>382</v>
      </c>
      <c r="B384" s="116" t="n">
        <v>43573</v>
      </c>
      <c r="C384" s="117" t="n">
        <v>3</v>
      </c>
      <c r="D384" s="117" t="s">
        <v>372</v>
      </c>
      <c r="E384" s="117" t="n">
        <v>0</v>
      </c>
    </row>
    <row r="385" customFormat="false" ht="34.3" hidden="false" customHeight="false" outlineLevel="0" collapsed="false">
      <c r="A385" s="118" t="s">
        <v>383</v>
      </c>
      <c r="B385" s="116" t="n">
        <v>44302</v>
      </c>
      <c r="C385" s="117" t="n">
        <v>63</v>
      </c>
      <c r="D385" s="117" t="s">
        <v>280</v>
      </c>
      <c r="E385" s="117" t="s">
        <v>109</v>
      </c>
    </row>
    <row r="386" customFormat="false" ht="13.8" hidden="false" customHeight="false" outlineLevel="0" collapsed="false">
      <c r="A386" s="71" t="s">
        <v>384</v>
      </c>
      <c r="B386" s="119"/>
      <c r="C386" s="120"/>
      <c r="D386" s="120"/>
      <c r="E386" s="120"/>
    </row>
    <row r="387" customFormat="false" ht="13.8" hidden="false" customHeight="false" outlineLevel="0" collapsed="false">
      <c r="A387" s="84"/>
      <c r="B387" s="114"/>
      <c r="C387" s="84"/>
      <c r="D387" s="84"/>
      <c r="E387" s="84"/>
    </row>
    <row r="388" customFormat="false" ht="13.8" hidden="false" customHeight="false" outlineLevel="0" collapsed="false">
      <c r="A388" s="50" t="s">
        <v>84</v>
      </c>
      <c r="B388" s="121"/>
      <c r="C388" s="52"/>
      <c r="D388" s="52"/>
    </row>
    <row r="389" customFormat="false" ht="210.45" hidden="false" customHeight="false" outlineLevel="0" collapsed="false">
      <c r="A389" s="53" t="s">
        <v>385</v>
      </c>
      <c r="B389" s="54" t="s">
        <v>386</v>
      </c>
      <c r="C389" s="122"/>
      <c r="D389" s="122"/>
    </row>
    <row r="390" customFormat="false" ht="59.3" hidden="false" customHeight="false" outlineLevel="0" collapsed="false">
      <c r="A390" s="40" t="s">
        <v>387</v>
      </c>
      <c r="B390" s="123" t="s">
        <v>388</v>
      </c>
      <c r="C390" s="40"/>
      <c r="D390" s="40"/>
    </row>
    <row r="1048576" customFormat="false" ht="12.8" hidden="false" customHeight="false" outlineLevel="0" collapsed="false"/>
  </sheetData>
  <printOptions headings="false" gridLines="false" gridLinesSet="true" horizontalCentered="false" verticalCentered="false"/>
  <pageMargins left="0.7" right="0.7" top="0.75" bottom="0.75" header="0.511805555555555" footer="0.511805555555555"/>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G1048576"/>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55" activeCellId="0" sqref="A55"/>
    </sheetView>
  </sheetViews>
  <sheetFormatPr defaultColWidth="8.8515625" defaultRowHeight="13.8" zeroHeight="false" outlineLevelRow="0" outlineLevelCol="0"/>
  <cols>
    <col collapsed="false" customWidth="true" hidden="false" outlineLevel="0" max="1" min="1" style="1" width="19.85"/>
    <col collapsed="false" customWidth="true" hidden="false" outlineLevel="0" max="2" min="2" style="1" width="11.85"/>
    <col collapsed="false" customWidth="true" hidden="false" outlineLevel="0" max="3" min="3" style="1" width="14.14"/>
    <col collapsed="false" customWidth="true" hidden="false" outlineLevel="0" max="4" min="4" style="1" width="14.85"/>
    <col collapsed="false" customWidth="true" hidden="false" outlineLevel="0" max="5" min="5" style="1" width="14.71"/>
    <col collapsed="false" customWidth="true" hidden="false" outlineLevel="0" max="6" min="6" style="1" width="17"/>
    <col collapsed="false" customWidth="false" hidden="false" outlineLevel="0" max="1024" min="7" style="1" width="8.85"/>
  </cols>
  <sheetData>
    <row r="1" customFormat="false" ht="15" hidden="false" customHeight="false" outlineLevel="0" collapsed="false">
      <c r="A1" s="90" t="s">
        <v>389</v>
      </c>
    </row>
    <row r="2" s="124" customFormat="true" ht="13.8" hidden="false" customHeight="false" outlineLevel="0" collapsed="false">
      <c r="A2" s="18" t="s">
        <v>390</v>
      </c>
      <c r="B2" s="18"/>
      <c r="C2" s="18"/>
      <c r="D2" s="1"/>
      <c r="E2" s="1"/>
      <c r="F2" s="1"/>
    </row>
    <row r="3" customFormat="false" ht="30" hidden="false" customHeight="true" outlineLevel="0" collapsed="false">
      <c r="A3" s="125" t="s">
        <v>9</v>
      </c>
      <c r="B3" s="125" t="s">
        <v>10</v>
      </c>
      <c r="C3" s="125" t="s">
        <v>391</v>
      </c>
    </row>
    <row r="4" customFormat="false" ht="13.8" hidden="false" customHeight="false" outlineLevel="0" collapsed="false">
      <c r="A4" s="60" t="n">
        <v>44378</v>
      </c>
      <c r="B4" s="61" t="s">
        <v>12</v>
      </c>
      <c r="C4" s="126" t="s">
        <v>392</v>
      </c>
    </row>
    <row r="6" customFormat="false" ht="13.8" hidden="false" customHeight="false" outlineLevel="0" collapsed="false">
      <c r="A6" s="72"/>
    </row>
    <row r="56" customFormat="false" ht="13.8" hidden="false" customHeight="false" outlineLevel="0" collapsed="false">
      <c r="A56" s="18" t="s">
        <v>393</v>
      </c>
      <c r="B56" s="18"/>
      <c r="C56" s="18"/>
    </row>
    <row r="57" customFormat="false" ht="13.8" hidden="false" customHeight="false" outlineLevel="0" collapsed="false">
      <c r="A57" s="125" t="s">
        <v>9</v>
      </c>
      <c r="B57" s="125" t="s">
        <v>10</v>
      </c>
      <c r="C57" s="125" t="s">
        <v>391</v>
      </c>
    </row>
    <row r="58" customFormat="false" ht="13.8" hidden="false" customHeight="false" outlineLevel="0" collapsed="false">
      <c r="A58" s="60" t="n">
        <v>44378</v>
      </c>
      <c r="B58" s="61" t="s">
        <v>12</v>
      </c>
      <c r="C58" s="126" t="s">
        <v>392</v>
      </c>
    </row>
    <row r="60" customFormat="false" ht="13.8" hidden="false" customHeight="false" outlineLevel="0" collapsed="false">
      <c r="A60" s="72"/>
      <c r="B60" s="127"/>
      <c r="C60" s="127"/>
      <c r="D60" s="127"/>
      <c r="E60" s="54"/>
      <c r="F60" s="54"/>
      <c r="G60" s="54"/>
    </row>
    <row r="61" customFormat="false" ht="13.8" hidden="false" customHeight="false" outlineLevel="0" collapsed="false">
      <c r="A61" s="54"/>
      <c r="B61" s="54"/>
      <c r="C61" s="54"/>
      <c r="D61" s="54"/>
      <c r="E61" s="54"/>
      <c r="F61" s="54"/>
      <c r="G61" s="54"/>
    </row>
    <row r="62" s="124" customFormat="true" ht="12.8" hidden="false" customHeight="false" outlineLevel="0" collapsed="false">
      <c r="D62" s="1"/>
      <c r="E62" s="1"/>
      <c r="F62" s="1"/>
    </row>
    <row r="63" customFormat="false" ht="13.8" hidden="false" customHeight="false" outlineLevel="0" collapsed="false">
      <c r="G63" s="54"/>
    </row>
    <row r="64" customFormat="false" ht="19.9" hidden="false" customHeight="true" outlineLevel="0" collapsed="false">
      <c r="G64" s="54"/>
    </row>
    <row r="65" customFormat="false" ht="13.8" hidden="false" customHeight="false" outlineLevel="0" collapsed="false">
      <c r="A65" s="128"/>
      <c r="B65" s="128"/>
      <c r="C65" s="129"/>
      <c r="G65" s="54"/>
    </row>
    <row r="66" customFormat="false" ht="13.8" hidden="false" customHeight="false" outlineLevel="0" collapsed="false">
      <c r="A66" s="128"/>
      <c r="B66" s="128"/>
      <c r="C66" s="129"/>
      <c r="G66" s="54"/>
    </row>
    <row r="67" customFormat="false" ht="13.8" hidden="false" customHeight="false" outlineLevel="0" collapsed="false">
      <c r="A67" s="128"/>
      <c r="B67" s="128"/>
      <c r="C67" s="129"/>
      <c r="G67" s="54"/>
    </row>
    <row r="68" customFormat="false" ht="13.8" hidden="false" customHeight="false" outlineLevel="0" collapsed="false">
      <c r="A68" s="128"/>
      <c r="B68" s="128"/>
      <c r="C68" s="129"/>
      <c r="G68" s="54"/>
    </row>
    <row r="69" customFormat="false" ht="13.8" hidden="false" customHeight="false" outlineLevel="0" collapsed="false">
      <c r="A69" s="128"/>
      <c r="B69" s="128"/>
      <c r="C69" s="129"/>
      <c r="G69" s="54"/>
    </row>
    <row r="70" customFormat="false" ht="13.8" hidden="false" customHeight="false" outlineLevel="0" collapsed="false">
      <c r="A70" s="128"/>
      <c r="B70" s="128"/>
      <c r="C70" s="129"/>
      <c r="G70" s="54"/>
    </row>
    <row r="71" customFormat="false" ht="13.8" hidden="false" customHeight="false" outlineLevel="0" collapsed="false">
      <c r="A71" s="128"/>
      <c r="B71" s="128"/>
      <c r="C71" s="129"/>
      <c r="G71" s="54"/>
    </row>
    <row r="72" customFormat="false" ht="13.8" hidden="false" customHeight="false" outlineLevel="0" collapsed="false">
      <c r="A72" s="128"/>
      <c r="B72" s="128"/>
      <c r="C72" s="129"/>
      <c r="G72" s="54"/>
    </row>
    <row r="73" customFormat="false" ht="13.8" hidden="false" customHeight="false" outlineLevel="0" collapsed="false">
      <c r="A73" s="128"/>
      <c r="B73" s="128"/>
      <c r="C73" s="129"/>
      <c r="G73" s="54"/>
    </row>
    <row r="74" customFormat="false" ht="13.8" hidden="false" customHeight="false" outlineLevel="0" collapsed="false">
      <c r="A74" s="128"/>
      <c r="B74" s="128"/>
      <c r="C74" s="129"/>
      <c r="G74" s="54"/>
    </row>
    <row r="75" customFormat="false" ht="13.8" hidden="false" customHeight="false" outlineLevel="0" collapsed="false">
      <c r="A75" s="128"/>
      <c r="B75" s="128"/>
      <c r="C75" s="129"/>
      <c r="G75" s="54"/>
    </row>
    <row r="76" customFormat="false" ht="13.8" hidden="false" customHeight="false" outlineLevel="0" collapsed="false">
      <c r="A76" s="128"/>
      <c r="B76" s="128"/>
      <c r="C76" s="129"/>
      <c r="G76" s="54"/>
    </row>
    <row r="77" customFormat="false" ht="13.8" hidden="false" customHeight="false" outlineLevel="0" collapsed="false">
      <c r="A77" s="128"/>
      <c r="B77" s="128"/>
      <c r="C77" s="129"/>
      <c r="G77" s="54"/>
    </row>
    <row r="78" customFormat="false" ht="13.8" hidden="false" customHeight="false" outlineLevel="0" collapsed="false">
      <c r="A78" s="128"/>
      <c r="B78" s="128"/>
      <c r="C78" s="129"/>
      <c r="G78" s="54"/>
    </row>
    <row r="79" customFormat="false" ht="13.8" hidden="false" customHeight="false" outlineLevel="0" collapsed="false">
      <c r="A79" s="128"/>
      <c r="B79" s="128"/>
      <c r="C79" s="129"/>
      <c r="G79" s="54"/>
    </row>
    <row r="80" customFormat="false" ht="13.8" hidden="false" customHeight="false" outlineLevel="0" collapsed="false">
      <c r="A80" s="128"/>
      <c r="B80" s="128"/>
      <c r="C80" s="129"/>
      <c r="G80" s="54"/>
    </row>
    <row r="81" customFormat="false" ht="13.8" hidden="false" customHeight="false" outlineLevel="0" collapsed="false">
      <c r="A81" s="128"/>
      <c r="B81" s="128"/>
      <c r="C81" s="129"/>
      <c r="G81" s="54"/>
    </row>
    <row r="82" customFormat="false" ht="13.8" hidden="false" customHeight="false" outlineLevel="0" collapsed="false">
      <c r="A82" s="128"/>
      <c r="B82" s="128"/>
      <c r="C82" s="129"/>
      <c r="G82" s="54"/>
    </row>
    <row r="83" customFormat="false" ht="13.8" hidden="false" customHeight="false" outlineLevel="0" collapsed="false">
      <c r="A83" s="128"/>
      <c r="B83" s="128"/>
      <c r="C83" s="129"/>
      <c r="G83" s="54"/>
    </row>
    <row r="84" customFormat="false" ht="13.8" hidden="false" customHeight="false" outlineLevel="0" collapsed="false">
      <c r="A84" s="128"/>
      <c r="B84" s="128"/>
      <c r="C84" s="129"/>
      <c r="G84" s="54"/>
    </row>
    <row r="85" customFormat="false" ht="13.8" hidden="false" customHeight="false" outlineLevel="0" collapsed="false">
      <c r="A85" s="128"/>
      <c r="B85" s="128"/>
      <c r="C85" s="129"/>
      <c r="G85" s="54"/>
    </row>
    <row r="91" customFormat="false" ht="13.8" hidden="false" customHeight="false" outlineLevel="0" collapsed="false">
      <c r="A91" s="130"/>
      <c r="B91" s="72"/>
      <c r="C91" s="72"/>
      <c r="D91" s="72"/>
      <c r="E91" s="72"/>
      <c r="F91" s="72"/>
      <c r="G91" s="54"/>
    </row>
    <row r="92" customFormat="false" ht="13.8" hidden="false" customHeight="false" outlineLevel="0" collapsed="false">
      <c r="A92" s="54"/>
      <c r="B92" s="54"/>
      <c r="C92" s="54"/>
      <c r="D92" s="54"/>
      <c r="E92" s="54"/>
      <c r="F92" s="54"/>
      <c r="G92" s="54"/>
    </row>
    <row r="93" customFormat="false" ht="13.8" hidden="false" customHeight="false" outlineLevel="0" collapsed="false">
      <c r="A93" s="71"/>
      <c r="B93" s="84"/>
      <c r="C93" s="84"/>
      <c r="D93" s="84"/>
      <c r="E93" s="84"/>
      <c r="F93" s="84"/>
      <c r="G93" s="54"/>
    </row>
    <row r="94" customFormat="false" ht="13.8" hidden="false" customHeight="false" outlineLevel="0" collapsed="false">
      <c r="B94" s="84"/>
      <c r="C94" s="84"/>
      <c r="D94" s="84"/>
      <c r="E94" s="84"/>
      <c r="F94" s="84"/>
      <c r="G94" s="54"/>
    </row>
    <row r="95" customFormat="false" ht="13.8" hidden="false" customHeight="false" outlineLevel="0" collapsed="false">
      <c r="B95" s="54"/>
      <c r="C95" s="54"/>
      <c r="D95" s="54"/>
      <c r="E95" s="54"/>
      <c r="F95" s="54"/>
      <c r="G95" s="54"/>
    </row>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H75"/>
  <sheetViews>
    <sheetView showFormulas="false" showGridLines="true" showRowColHeaders="true" showZeros="true" rightToLeft="false" tabSelected="false" showOutlineSymbols="true" defaultGridColor="true" view="normal" topLeftCell="A25" colorId="64" zoomScale="100" zoomScaleNormal="100" zoomScalePageLayoutView="100" workbookViewId="0">
      <selection pane="topLeft" activeCell="I17" activeCellId="0" sqref="I17"/>
    </sheetView>
  </sheetViews>
  <sheetFormatPr defaultColWidth="8.8515625" defaultRowHeight="13.8" zeroHeight="false" outlineLevelRow="0" outlineLevelCol="0"/>
  <cols>
    <col collapsed="false" customWidth="true" hidden="false" outlineLevel="0" max="2" min="1" style="1" width="17.28"/>
    <col collapsed="false" customWidth="true" hidden="false" outlineLevel="0" max="3" min="3" style="1" width="22.57"/>
    <col collapsed="false" customWidth="true" hidden="false" outlineLevel="0" max="4" min="4" style="1" width="13.85"/>
    <col collapsed="false" customWidth="false" hidden="false" outlineLevel="0" max="1024" min="5" style="1" width="8.85"/>
  </cols>
  <sheetData>
    <row r="1" customFormat="false" ht="15" hidden="false" customHeight="false" outlineLevel="0" collapsed="false">
      <c r="A1" s="90" t="s">
        <v>394</v>
      </c>
      <c r="B1" s="84"/>
      <c r="C1" s="84"/>
      <c r="D1" s="72"/>
      <c r="E1" s="84"/>
    </row>
    <row r="2" customFormat="false" ht="15" hidden="false" customHeight="true" outlineLevel="0" collapsed="false">
      <c r="A2" s="131" t="s">
        <v>9</v>
      </c>
      <c r="B2" s="131" t="s">
        <v>10</v>
      </c>
      <c r="D2" s="72"/>
      <c r="E2" s="84"/>
    </row>
    <row r="3" customFormat="false" ht="13.8" hidden="false" customHeight="false" outlineLevel="0" collapsed="false">
      <c r="A3" s="60" t="n">
        <v>44378</v>
      </c>
      <c r="B3" s="61" t="s">
        <v>12</v>
      </c>
      <c r="D3" s="72"/>
      <c r="E3" s="84"/>
    </row>
    <row r="4" customFormat="false" ht="15" hidden="false" customHeight="true" outlineLevel="0" collapsed="false">
      <c r="A4" s="90"/>
      <c r="B4" s="72"/>
      <c r="C4" s="72"/>
      <c r="D4" s="72"/>
      <c r="E4" s="84"/>
    </row>
    <row r="5" customFormat="false" ht="15" hidden="false" customHeight="true" outlineLevel="0" collapsed="false">
      <c r="A5" s="90"/>
      <c r="B5" s="72"/>
      <c r="C5" s="72"/>
      <c r="D5" s="72"/>
      <c r="E5" s="84"/>
    </row>
    <row r="6" customFormat="false" ht="15" hidden="false" customHeight="true" outlineLevel="0" collapsed="false">
      <c r="A6" s="90"/>
      <c r="B6" s="72"/>
      <c r="C6" s="72"/>
      <c r="D6" s="72"/>
      <c r="E6" s="84"/>
    </row>
    <row r="7" customFormat="false" ht="15" hidden="false" customHeight="true" outlineLevel="0" collapsed="false">
      <c r="A7" s="90"/>
      <c r="B7" s="72"/>
      <c r="C7" s="72"/>
      <c r="D7" s="72"/>
      <c r="E7" s="84"/>
    </row>
    <row r="8" customFormat="false" ht="15" hidden="false" customHeight="true" outlineLevel="0" collapsed="false">
      <c r="A8" s="90"/>
      <c r="B8" s="72"/>
      <c r="C8" s="72"/>
      <c r="D8" s="72"/>
      <c r="E8" s="84"/>
    </row>
    <row r="9" customFormat="false" ht="15" hidden="false" customHeight="true" outlineLevel="0" collapsed="false">
      <c r="A9" s="90"/>
      <c r="B9" s="72"/>
      <c r="C9" s="72"/>
      <c r="D9" s="72"/>
      <c r="E9" s="84"/>
    </row>
    <row r="10" customFormat="false" ht="15" hidden="false" customHeight="true" outlineLevel="0" collapsed="false">
      <c r="A10" s="90"/>
      <c r="B10" s="72"/>
      <c r="C10" s="72"/>
      <c r="D10" s="72"/>
      <c r="E10" s="84"/>
    </row>
    <row r="11" customFormat="false" ht="15" hidden="false" customHeight="true" outlineLevel="0" collapsed="false">
      <c r="A11" s="90"/>
      <c r="B11" s="72"/>
      <c r="C11" s="72"/>
      <c r="D11" s="72"/>
      <c r="E11" s="84"/>
    </row>
    <row r="12" customFormat="false" ht="15" hidden="false" customHeight="true" outlineLevel="0" collapsed="false">
      <c r="A12" s="90"/>
      <c r="B12" s="72"/>
      <c r="C12" s="72"/>
      <c r="D12" s="72"/>
      <c r="E12" s="84"/>
    </row>
    <row r="13" customFormat="false" ht="15" hidden="false" customHeight="true" outlineLevel="0" collapsed="false">
      <c r="A13" s="90"/>
      <c r="B13" s="72"/>
      <c r="C13" s="72"/>
      <c r="D13" s="72"/>
      <c r="E13" s="84"/>
    </row>
    <row r="14" customFormat="false" ht="15" hidden="false" customHeight="true" outlineLevel="0" collapsed="false">
      <c r="A14" s="90"/>
      <c r="B14" s="72"/>
      <c r="C14" s="72"/>
      <c r="D14" s="72"/>
      <c r="E14" s="84"/>
    </row>
    <row r="15" customFormat="false" ht="15" hidden="false" customHeight="false" outlineLevel="0" collapsed="false">
      <c r="A15" s="90"/>
      <c r="B15" s="72"/>
      <c r="C15" s="72"/>
      <c r="D15" s="72"/>
      <c r="E15" s="84"/>
    </row>
    <row r="16" customFormat="false" ht="15" hidden="false" customHeight="false" outlineLevel="0" collapsed="false">
      <c r="A16" s="90" t="s">
        <v>395</v>
      </c>
      <c r="B16" s="72"/>
      <c r="C16" s="72"/>
      <c r="D16" s="72"/>
      <c r="E16" s="84"/>
    </row>
    <row r="17" customFormat="false" ht="13.8" hidden="false" customHeight="false" outlineLevel="0" collapsed="false">
      <c r="A17" s="16" t="s">
        <v>396</v>
      </c>
    </row>
    <row r="18" customFormat="false" ht="26.45" hidden="false" customHeight="true" outlineLevel="0" collapsed="false">
      <c r="A18" s="132" t="s">
        <v>397</v>
      </c>
      <c r="B18" s="133" t="s">
        <v>9</v>
      </c>
      <c r="C18" s="133" t="s">
        <v>10</v>
      </c>
      <c r="D18" s="133" t="s">
        <v>398</v>
      </c>
      <c r="E18" s="133"/>
      <c r="F18" s="84"/>
    </row>
    <row r="19" customFormat="false" ht="13.8" hidden="false" customHeight="false" outlineLevel="0" collapsed="false">
      <c r="A19" s="132"/>
      <c r="B19" s="134" t="n">
        <v>44382</v>
      </c>
      <c r="C19" s="62" t="s">
        <v>12</v>
      </c>
      <c r="D19" s="135" t="n">
        <f aca="false">12+15+17+20+6+6</f>
        <v>76</v>
      </c>
      <c r="E19" s="135"/>
      <c r="F19" s="84"/>
    </row>
    <row r="20" customFormat="false" ht="13.9" hidden="false" customHeight="true" outlineLevel="0" collapsed="false">
      <c r="A20" s="136" t="s">
        <v>399</v>
      </c>
      <c r="B20" s="133" t="s">
        <v>124</v>
      </c>
      <c r="C20" s="133"/>
      <c r="D20" s="131" t="s">
        <v>400</v>
      </c>
      <c r="E20" s="131" t="s">
        <v>401</v>
      </c>
      <c r="F20" s="84"/>
    </row>
    <row r="21" customFormat="false" ht="13.8" hidden="false" customHeight="false" outlineLevel="0" collapsed="false">
      <c r="A21" s="136"/>
      <c r="B21" s="133"/>
      <c r="C21" s="133"/>
      <c r="D21" s="131"/>
      <c r="E21" s="131"/>
      <c r="F21" s="84"/>
    </row>
    <row r="22" customFormat="false" ht="13.95" hidden="false" customHeight="false" outlineLevel="0" collapsed="false">
      <c r="A22" s="137" t="s">
        <v>402</v>
      </c>
      <c r="B22" s="138" t="s">
        <v>403</v>
      </c>
      <c r="C22" s="139"/>
      <c r="D22" s="140" t="n">
        <v>43811</v>
      </c>
      <c r="E22" s="141" t="s">
        <v>404</v>
      </c>
      <c r="F22" s="84"/>
    </row>
    <row r="23" customFormat="false" ht="13.95" hidden="false" customHeight="false" outlineLevel="0" collapsed="false">
      <c r="A23" s="142" t="s">
        <v>405</v>
      </c>
      <c r="B23" s="139"/>
      <c r="C23" s="139"/>
      <c r="D23" s="139" t="n">
        <v>3</v>
      </c>
      <c r="E23" s="141" t="s">
        <v>406</v>
      </c>
      <c r="F23" s="84"/>
    </row>
    <row r="24" customFormat="false" ht="13.95" hidden="false" customHeight="false" outlineLevel="0" collapsed="false">
      <c r="A24" s="142" t="s">
        <v>407</v>
      </c>
      <c r="B24" s="141"/>
      <c r="C24" s="141"/>
      <c r="D24" s="139" t="n">
        <v>3</v>
      </c>
      <c r="E24" s="141" t="s">
        <v>406</v>
      </c>
      <c r="F24" s="84"/>
    </row>
    <row r="25" customFormat="false" ht="13.95" hidden="false" customHeight="false" outlineLevel="0" collapsed="false">
      <c r="A25" s="142" t="s">
        <v>408</v>
      </c>
      <c r="B25" s="141"/>
      <c r="C25" s="141"/>
      <c r="D25" s="139" t="n">
        <v>3</v>
      </c>
      <c r="E25" s="141" t="s">
        <v>406</v>
      </c>
      <c r="F25" s="84"/>
    </row>
    <row r="26" customFormat="false" ht="13.95" hidden="false" customHeight="false" outlineLevel="0" collapsed="false">
      <c r="A26" s="142" t="s">
        <v>409</v>
      </c>
      <c r="B26" s="139"/>
      <c r="C26" s="139"/>
      <c r="D26" s="139" t="n">
        <v>3</v>
      </c>
      <c r="E26" s="141" t="s">
        <v>406</v>
      </c>
      <c r="F26" s="84"/>
    </row>
    <row r="27" customFormat="false" ht="13.95" hidden="false" customHeight="false" outlineLevel="0" collapsed="false">
      <c r="A27" s="137" t="s">
        <v>410</v>
      </c>
      <c r="B27" s="139" t="s">
        <v>403</v>
      </c>
      <c r="C27" s="139"/>
      <c r="D27" s="139" t="s">
        <v>411</v>
      </c>
      <c r="E27" s="141" t="s">
        <v>404</v>
      </c>
      <c r="F27" s="84"/>
    </row>
    <row r="28" customFormat="false" ht="13.95" hidden="false" customHeight="false" outlineLevel="0" collapsed="false">
      <c r="A28" s="142" t="s">
        <v>412</v>
      </c>
      <c r="B28" s="141"/>
      <c r="C28" s="141"/>
      <c r="D28" s="139" t="n">
        <v>3</v>
      </c>
      <c r="E28" s="141" t="s">
        <v>406</v>
      </c>
      <c r="F28" s="84"/>
    </row>
    <row r="29" customFormat="false" ht="24.4" hidden="false" customHeight="false" outlineLevel="0" collapsed="false">
      <c r="A29" s="142" t="s">
        <v>413</v>
      </c>
      <c r="B29" s="139"/>
      <c r="C29" s="139"/>
      <c r="D29" s="139" t="n">
        <v>3</v>
      </c>
      <c r="E29" s="141" t="s">
        <v>406</v>
      </c>
      <c r="F29" s="84"/>
    </row>
    <row r="30" customFormat="false" ht="13.95" hidden="false" customHeight="false" outlineLevel="0" collapsed="false">
      <c r="A30" s="142" t="s">
        <v>414</v>
      </c>
      <c r="B30" s="139"/>
      <c r="C30" s="139"/>
      <c r="D30" s="139" t="n">
        <v>3</v>
      </c>
      <c r="E30" s="141" t="s">
        <v>406</v>
      </c>
      <c r="F30" s="84"/>
    </row>
    <row r="31" customFormat="false" ht="13.95" hidden="false" customHeight="false" outlineLevel="0" collapsed="false">
      <c r="A31" s="142" t="s">
        <v>415</v>
      </c>
      <c r="B31" s="139"/>
      <c r="C31" s="139"/>
      <c r="D31" s="139" t="n">
        <v>3</v>
      </c>
      <c r="E31" s="141" t="s">
        <v>406</v>
      </c>
      <c r="F31" s="84"/>
    </row>
    <row r="32" customFormat="false" ht="13.95" hidden="false" customHeight="false" outlineLevel="0" collapsed="false">
      <c r="A32" s="142" t="s">
        <v>416</v>
      </c>
      <c r="B32" s="139"/>
      <c r="C32" s="139"/>
      <c r="D32" s="139" t="n">
        <v>3</v>
      </c>
      <c r="E32" s="141" t="s">
        <v>406</v>
      </c>
      <c r="F32" s="84"/>
    </row>
    <row r="33" customFormat="false" ht="13.95" hidden="false" customHeight="false" outlineLevel="0" collapsed="false">
      <c r="A33" s="143" t="s">
        <v>417</v>
      </c>
      <c r="B33" s="139" t="s">
        <v>403</v>
      </c>
      <c r="C33" s="139"/>
      <c r="D33" s="139" t="s">
        <v>418</v>
      </c>
      <c r="E33" s="141" t="s">
        <v>404</v>
      </c>
      <c r="F33" s="84"/>
    </row>
    <row r="34" customFormat="false" ht="39.5" hidden="false" customHeight="false" outlineLevel="0" collapsed="false">
      <c r="A34" s="142" t="s">
        <v>419</v>
      </c>
      <c r="B34" s="139"/>
      <c r="C34" s="139" t="s">
        <v>420</v>
      </c>
      <c r="D34" s="139" t="n">
        <v>2</v>
      </c>
      <c r="E34" s="141" t="s">
        <v>406</v>
      </c>
      <c r="F34" s="84"/>
    </row>
    <row r="35" customFormat="false" ht="13.95" hidden="false" customHeight="false" outlineLevel="0" collapsed="false">
      <c r="A35" s="142" t="s">
        <v>421</v>
      </c>
      <c r="B35" s="139"/>
      <c r="C35" s="139"/>
      <c r="D35" s="139" t="n">
        <v>3</v>
      </c>
      <c r="E35" s="141" t="s">
        <v>406</v>
      </c>
      <c r="F35" s="84"/>
    </row>
    <row r="36" customFormat="false" ht="39.5" hidden="false" customHeight="false" outlineLevel="0" collapsed="false">
      <c r="A36" s="142" t="s">
        <v>422</v>
      </c>
      <c r="B36" s="139"/>
      <c r="C36" s="139" t="s">
        <v>423</v>
      </c>
      <c r="D36" s="139" t="n">
        <v>0</v>
      </c>
      <c r="E36" s="141" t="s">
        <v>424</v>
      </c>
      <c r="F36" s="84"/>
    </row>
    <row r="37" customFormat="false" ht="13.95" hidden="false" customHeight="false" outlineLevel="0" collapsed="false">
      <c r="A37" s="142" t="s">
        <v>425</v>
      </c>
      <c r="B37" s="139"/>
      <c r="C37" s="139"/>
      <c r="D37" s="139" t="n">
        <v>3</v>
      </c>
      <c r="E37" s="141" t="s">
        <v>406</v>
      </c>
      <c r="F37" s="84"/>
    </row>
    <row r="38" customFormat="false" ht="13.95" hidden="false" customHeight="false" outlineLevel="0" collapsed="false">
      <c r="A38" s="142" t="s">
        <v>426</v>
      </c>
      <c r="B38" s="139"/>
      <c r="C38" s="139"/>
      <c r="D38" s="139" t="n">
        <v>3</v>
      </c>
      <c r="E38" s="141" t="s">
        <v>406</v>
      </c>
      <c r="F38" s="84"/>
    </row>
    <row r="39" customFormat="false" ht="13.95" hidden="false" customHeight="false" outlineLevel="0" collapsed="false">
      <c r="A39" s="144" t="s">
        <v>427</v>
      </c>
      <c r="B39" s="139"/>
      <c r="C39" s="139"/>
      <c r="D39" s="139" t="n">
        <v>3</v>
      </c>
      <c r="E39" s="141" t="s">
        <v>428</v>
      </c>
      <c r="F39" s="84"/>
    </row>
    <row r="40" customFormat="false" ht="13.95" hidden="false" customHeight="false" outlineLevel="0" collapsed="false">
      <c r="A40" s="142" t="s">
        <v>429</v>
      </c>
      <c r="B40" s="139"/>
      <c r="C40" s="139"/>
      <c r="D40" s="139" t="n">
        <v>3</v>
      </c>
      <c r="E40" s="141" t="s">
        <v>406</v>
      </c>
      <c r="F40" s="84"/>
    </row>
    <row r="41" customFormat="false" ht="13.95" hidden="false" customHeight="false" outlineLevel="0" collapsed="false">
      <c r="A41" s="143" t="s">
        <v>430</v>
      </c>
      <c r="B41" s="139" t="s">
        <v>403</v>
      </c>
      <c r="C41" s="139"/>
      <c r="D41" s="139" t="s">
        <v>431</v>
      </c>
      <c r="E41" s="141" t="s">
        <v>404</v>
      </c>
      <c r="F41" s="84"/>
    </row>
    <row r="42" customFormat="false" ht="13.95" hidden="false" customHeight="false" outlineLevel="0" collapsed="false">
      <c r="A42" s="142" t="s">
        <v>432</v>
      </c>
      <c r="B42" s="139"/>
      <c r="C42" s="145"/>
      <c r="D42" s="139" t="n">
        <v>3</v>
      </c>
      <c r="E42" s="141" t="s">
        <v>428</v>
      </c>
      <c r="F42" s="84"/>
    </row>
    <row r="43" customFormat="false" ht="13.95" hidden="false" customHeight="false" outlineLevel="0" collapsed="false">
      <c r="A43" s="142" t="s">
        <v>433</v>
      </c>
      <c r="B43" s="139"/>
      <c r="C43" s="139"/>
      <c r="D43" s="139" t="n">
        <v>3</v>
      </c>
      <c r="E43" s="141" t="s">
        <v>424</v>
      </c>
      <c r="F43" s="84"/>
    </row>
    <row r="44" customFormat="false" ht="39.5" hidden="false" customHeight="false" outlineLevel="0" collapsed="false">
      <c r="A44" s="142" t="s">
        <v>434</v>
      </c>
      <c r="B44" s="139"/>
      <c r="C44" s="139" t="s">
        <v>435</v>
      </c>
      <c r="D44" s="139" t="n">
        <v>2</v>
      </c>
      <c r="E44" s="141" t="s">
        <v>406</v>
      </c>
      <c r="F44" s="84"/>
    </row>
    <row r="45" customFormat="false" ht="13.95" hidden="false" customHeight="false" outlineLevel="0" collapsed="false">
      <c r="A45" s="142" t="s">
        <v>436</v>
      </c>
      <c r="B45" s="139"/>
      <c r="C45" s="139"/>
      <c r="D45" s="139" t="n">
        <v>3</v>
      </c>
      <c r="E45" s="141" t="s">
        <v>406</v>
      </c>
      <c r="F45" s="84"/>
    </row>
    <row r="46" customFormat="false" ht="13.95" hidden="false" customHeight="false" outlineLevel="0" collapsed="false">
      <c r="A46" s="142" t="s">
        <v>437</v>
      </c>
      <c r="B46" s="139"/>
      <c r="C46" s="139"/>
      <c r="D46" s="139" t="n">
        <v>3</v>
      </c>
      <c r="E46" s="141" t="s">
        <v>406</v>
      </c>
      <c r="F46" s="84"/>
    </row>
    <row r="47" customFormat="false" ht="13.95" hidden="false" customHeight="false" outlineLevel="0" collapsed="false">
      <c r="A47" s="142" t="s">
        <v>438</v>
      </c>
      <c r="B47" s="139"/>
      <c r="C47" s="139"/>
      <c r="D47" s="139" t="n">
        <v>3</v>
      </c>
      <c r="E47" s="141" t="s">
        <v>406</v>
      </c>
      <c r="F47" s="84"/>
    </row>
    <row r="48" customFormat="false" ht="13.95" hidden="false" customHeight="false" outlineLevel="0" collapsed="false">
      <c r="A48" s="142" t="s">
        <v>439</v>
      </c>
      <c r="B48" s="139"/>
      <c r="C48" s="139"/>
      <c r="D48" s="139" t="n">
        <v>3</v>
      </c>
      <c r="E48" s="141" t="s">
        <v>406</v>
      </c>
      <c r="F48" s="84"/>
    </row>
    <row r="49" customFormat="false" ht="13.95" hidden="false" customHeight="false" outlineLevel="0" collapsed="false">
      <c r="A49" s="143" t="s">
        <v>440</v>
      </c>
      <c r="B49" s="139" t="s">
        <v>403</v>
      </c>
      <c r="C49" s="139"/>
      <c r="D49" s="140" t="n">
        <v>43622</v>
      </c>
      <c r="E49" s="141" t="s">
        <v>404</v>
      </c>
      <c r="F49" s="84"/>
    </row>
    <row r="50" customFormat="false" ht="13.95" hidden="false" customHeight="false" outlineLevel="0" collapsed="false">
      <c r="A50" s="142" t="s">
        <v>441</v>
      </c>
      <c r="B50" s="139"/>
      <c r="C50" s="139"/>
      <c r="D50" s="139" t="n">
        <v>3</v>
      </c>
      <c r="E50" s="141" t="s">
        <v>406</v>
      </c>
      <c r="F50" s="84"/>
    </row>
    <row r="51" customFormat="false" ht="13.95" hidden="false" customHeight="false" outlineLevel="0" collapsed="false">
      <c r="A51" s="142" t="s">
        <v>442</v>
      </c>
      <c r="B51" s="139"/>
      <c r="C51" s="139"/>
      <c r="D51" s="139" t="n">
        <v>3</v>
      </c>
      <c r="E51" s="141" t="s">
        <v>406</v>
      </c>
      <c r="F51" s="84"/>
    </row>
    <row r="52" customFormat="false" ht="13.95" hidden="false" customHeight="false" outlineLevel="0" collapsed="false">
      <c r="A52" s="143" t="s">
        <v>443</v>
      </c>
      <c r="B52" s="139" t="s">
        <v>403</v>
      </c>
      <c r="C52" s="139"/>
      <c r="D52" s="140" t="n">
        <v>43622</v>
      </c>
      <c r="E52" s="141" t="s">
        <v>404</v>
      </c>
      <c r="F52" s="84"/>
    </row>
    <row r="53" customFormat="false" ht="13.95" hidden="false" customHeight="false" outlineLevel="0" collapsed="false">
      <c r="A53" s="142" t="s">
        <v>444</v>
      </c>
      <c r="B53" s="139"/>
      <c r="C53" s="139"/>
      <c r="D53" s="139" t="n">
        <v>3</v>
      </c>
      <c r="E53" s="141" t="s">
        <v>406</v>
      </c>
      <c r="F53" s="84"/>
    </row>
    <row r="54" customFormat="false" ht="13.95" hidden="false" customHeight="false" outlineLevel="0" collapsed="false">
      <c r="A54" s="142" t="s">
        <v>445</v>
      </c>
      <c r="B54" s="139"/>
      <c r="C54" s="139"/>
      <c r="D54" s="139" t="s">
        <v>424</v>
      </c>
      <c r="E54" s="141" t="s">
        <v>406</v>
      </c>
      <c r="F54" s="84"/>
    </row>
    <row r="55" customFormat="false" ht="13.95" hidden="false" customHeight="false" outlineLevel="0" collapsed="false">
      <c r="A55" s="142" t="s">
        <v>446</v>
      </c>
      <c r="B55" s="139"/>
      <c r="C55" s="139"/>
      <c r="D55" s="139" t="s">
        <v>424</v>
      </c>
      <c r="E55" s="141" t="s">
        <v>406</v>
      </c>
      <c r="F55" s="84"/>
    </row>
    <row r="56" customFormat="false" ht="13.95" hidden="false" customHeight="false" outlineLevel="0" collapsed="false">
      <c r="A56" s="142" t="s">
        <v>447</v>
      </c>
      <c r="B56" s="139"/>
      <c r="C56" s="139"/>
      <c r="D56" s="139" t="n">
        <v>3</v>
      </c>
      <c r="E56" s="141" t="s">
        <v>406</v>
      </c>
      <c r="F56" s="84"/>
    </row>
    <row r="57" customFormat="false" ht="13.95" hidden="false" customHeight="false" outlineLevel="0" collapsed="false">
      <c r="A57" s="143" t="s">
        <v>448</v>
      </c>
      <c r="B57" s="135"/>
      <c r="C57" s="135"/>
      <c r="D57" s="139"/>
      <c r="E57" s="141" t="s">
        <v>404</v>
      </c>
      <c r="F57" s="84"/>
    </row>
    <row r="58" customFormat="false" ht="13.8" hidden="false" customHeight="false" outlineLevel="0" collapsed="false">
      <c r="A58" s="146" t="s">
        <v>449</v>
      </c>
      <c r="B58" s="147"/>
      <c r="C58" s="147"/>
      <c r="D58" s="147"/>
      <c r="E58" s="147"/>
      <c r="F58" s="84"/>
    </row>
    <row r="59" customFormat="false" ht="22.35" hidden="false" customHeight="true" outlineLevel="0" collapsed="false">
      <c r="A59" s="148" t="s">
        <v>450</v>
      </c>
      <c r="B59" s="148"/>
      <c r="C59" s="148"/>
      <c r="D59" s="148"/>
      <c r="E59" s="148"/>
      <c r="F59" s="149"/>
      <c r="G59" s="149"/>
      <c r="H59" s="149"/>
    </row>
    <row r="60" customFormat="false" ht="30.6" hidden="false" customHeight="true" outlineLevel="0" collapsed="false">
      <c r="A60" s="148"/>
      <c r="B60" s="148"/>
      <c r="C60" s="148"/>
      <c r="D60" s="148"/>
      <c r="E60" s="148"/>
      <c r="F60" s="149"/>
      <c r="G60" s="149"/>
      <c r="H60" s="149"/>
    </row>
    <row r="61" customFormat="false" ht="13.8" hidden="false" customHeight="false" outlineLevel="0" collapsed="false">
      <c r="A61" s="150"/>
      <c r="B61" s="150"/>
      <c r="C61" s="150"/>
      <c r="D61" s="150"/>
      <c r="E61" s="150"/>
      <c r="F61" s="149"/>
      <c r="G61" s="149"/>
      <c r="H61" s="149"/>
    </row>
    <row r="62" customFormat="false" ht="13.8" hidden="false" customHeight="false" outlineLevel="0" collapsed="false">
      <c r="A62" s="151"/>
      <c r="B62" s="151"/>
      <c r="C62" s="151"/>
      <c r="D62" s="151"/>
      <c r="E62" s="151"/>
      <c r="F62" s="152"/>
      <c r="G62" s="152"/>
      <c r="H62" s="152"/>
    </row>
    <row r="63" customFormat="false" ht="13.8" hidden="false" customHeight="false" outlineLevel="0" collapsed="false">
      <c r="A63" s="153" t="s">
        <v>451</v>
      </c>
      <c r="B63" s="150"/>
      <c r="C63" s="150"/>
      <c r="D63" s="146"/>
      <c r="E63" s="146"/>
      <c r="F63" s="154"/>
      <c r="G63" s="154"/>
      <c r="H63" s="152"/>
    </row>
    <row r="64" customFormat="false" ht="13.8" hidden="false" customHeight="false" outlineLevel="0" collapsed="false">
      <c r="A64" s="153" t="s">
        <v>452</v>
      </c>
      <c r="B64" s="150"/>
      <c r="C64" s="150"/>
      <c r="D64" s="146"/>
      <c r="E64" s="146"/>
      <c r="F64" s="154"/>
      <c r="G64" s="154"/>
      <c r="H64" s="152"/>
    </row>
    <row r="65" customFormat="false" ht="13.8" hidden="false" customHeight="false" outlineLevel="0" collapsed="false">
      <c r="A65" s="155" t="s">
        <v>453</v>
      </c>
      <c r="B65" s="150"/>
      <c r="C65" s="150"/>
      <c r="D65" s="150"/>
      <c r="E65" s="150"/>
      <c r="F65" s="154"/>
      <c r="G65" s="154"/>
      <c r="H65" s="152"/>
    </row>
    <row r="66" customFormat="false" ht="13.8" hidden="false" customHeight="false" outlineLevel="0" collapsed="false">
      <c r="A66" s="156" t="s">
        <v>454</v>
      </c>
      <c r="B66" s="150"/>
      <c r="C66" s="150"/>
      <c r="D66" s="150"/>
      <c r="E66" s="150"/>
      <c r="F66" s="149"/>
      <c r="G66" s="149"/>
      <c r="H66" s="152"/>
    </row>
    <row r="67" customFormat="false" ht="13.8" hidden="false" customHeight="false" outlineLevel="0" collapsed="false">
      <c r="A67" s="156" t="s">
        <v>455</v>
      </c>
      <c r="B67" s="150"/>
      <c r="C67" s="150"/>
      <c r="D67" s="150"/>
      <c r="E67" s="150"/>
      <c r="F67" s="149"/>
      <c r="G67" s="149"/>
      <c r="H67" s="152"/>
    </row>
    <row r="68" customFormat="false" ht="13.8" hidden="false" customHeight="false" outlineLevel="0" collapsed="false">
      <c r="A68" s="156" t="s">
        <v>456</v>
      </c>
      <c r="B68" s="150"/>
      <c r="C68" s="150"/>
      <c r="D68" s="150"/>
      <c r="E68" s="150"/>
      <c r="F68" s="149"/>
      <c r="G68" s="149"/>
      <c r="H68" s="152"/>
    </row>
    <row r="69" customFormat="false" ht="13.8" hidden="false" customHeight="false" outlineLevel="0" collapsed="false">
      <c r="A69" s="157" t="s">
        <v>457</v>
      </c>
      <c r="B69" s="146"/>
      <c r="C69" s="146"/>
      <c r="D69" s="146"/>
      <c r="E69" s="146"/>
      <c r="F69" s="154"/>
      <c r="G69" s="154"/>
      <c r="H69" s="152"/>
    </row>
    <row r="70" customFormat="false" ht="13.8" hidden="false" customHeight="false" outlineLevel="0" collapsed="false">
      <c r="A70" s="156" t="s">
        <v>458</v>
      </c>
      <c r="B70" s="150"/>
      <c r="C70" s="150"/>
      <c r="D70" s="150"/>
      <c r="E70" s="150"/>
      <c r="F70" s="149"/>
      <c r="G70" s="149"/>
      <c r="H70" s="152"/>
    </row>
    <row r="73" customFormat="false" ht="13.8" hidden="false" customHeight="false" outlineLevel="0" collapsed="false">
      <c r="A73" s="50" t="s">
        <v>84</v>
      </c>
      <c r="B73" s="51"/>
      <c r="C73" s="52"/>
    </row>
    <row r="74" customFormat="false" ht="24.4" hidden="false" customHeight="false" outlineLevel="0" collapsed="false">
      <c r="A74" s="53" t="s">
        <v>459</v>
      </c>
      <c r="B74" s="53" t="s">
        <v>460</v>
      </c>
      <c r="C74" s="122"/>
    </row>
    <row r="75" customFormat="false" ht="24.4" hidden="false" customHeight="false" outlineLevel="0" collapsed="false">
      <c r="A75" s="53" t="s">
        <v>461</v>
      </c>
      <c r="B75" s="40" t="s">
        <v>462</v>
      </c>
      <c r="C75" s="40"/>
    </row>
  </sheetData>
  <mergeCells count="9">
    <mergeCell ref="A18:A19"/>
    <mergeCell ref="D18:E18"/>
    <mergeCell ref="D19:E19"/>
    <mergeCell ref="A20:A21"/>
    <mergeCell ref="B20:C21"/>
    <mergeCell ref="D20:D21"/>
    <mergeCell ref="E20:E21"/>
    <mergeCell ref="B57:C57"/>
    <mergeCell ref="A59:E6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C1048576"/>
  <sheetViews>
    <sheetView showFormulas="false" showGridLines="true" showRowColHeaders="true" showZeros="true" rightToLeft="false" tabSelected="false" showOutlineSymbols="true" defaultGridColor="true" view="normal" topLeftCell="A37" colorId="64" zoomScale="100" zoomScaleNormal="100" zoomScalePageLayoutView="100" workbookViewId="0">
      <selection pane="topLeft" activeCell="A79" activeCellId="0" sqref="A79"/>
    </sheetView>
  </sheetViews>
  <sheetFormatPr defaultColWidth="8.859375" defaultRowHeight="13.8" zeroHeight="false" outlineLevelRow="0" outlineLevelCol="0"/>
  <cols>
    <col collapsed="false" customWidth="true" hidden="false" outlineLevel="0" max="1" min="1" style="0" width="16.43"/>
    <col collapsed="false" customWidth="true" hidden="false" outlineLevel="0" max="2" min="2" style="0" width="19.71"/>
  </cols>
  <sheetData>
    <row r="1" customFormat="false" ht="15" hidden="false" customHeight="false" outlineLevel="0" collapsed="false">
      <c r="A1" s="90" t="s">
        <v>463</v>
      </c>
    </row>
    <row r="2" customFormat="false" ht="15" hidden="false" customHeight="false" outlineLevel="0" collapsed="false">
      <c r="A2" s="90"/>
    </row>
    <row r="3" customFormat="false" ht="15" hidden="false" customHeight="false" outlineLevel="0" collapsed="false">
      <c r="A3" s="90"/>
    </row>
    <row r="4" customFormat="false" ht="15" hidden="false" customHeight="false" outlineLevel="0" collapsed="false">
      <c r="A4" s="90"/>
    </row>
    <row r="5" customFormat="false" ht="15" hidden="false" customHeight="false" outlineLevel="0" collapsed="false">
      <c r="A5" s="90"/>
    </row>
    <row r="6" customFormat="false" ht="15" hidden="false" customHeight="false" outlineLevel="0" collapsed="false">
      <c r="A6" s="90"/>
    </row>
    <row r="7" customFormat="false" ht="15" hidden="false" customHeight="false" outlineLevel="0" collapsed="false">
      <c r="A7" s="90"/>
    </row>
    <row r="8" customFormat="false" ht="15" hidden="false" customHeight="false" outlineLevel="0" collapsed="false">
      <c r="A8" s="90"/>
    </row>
    <row r="9" customFormat="false" ht="15" hidden="false" customHeight="false" outlineLevel="0" collapsed="false">
      <c r="A9" s="90"/>
    </row>
    <row r="10" customFormat="false" ht="15" hidden="false" customHeight="false" outlineLevel="0" collapsed="false">
      <c r="A10" s="90"/>
    </row>
    <row r="11" customFormat="false" ht="15" hidden="false" customHeight="false" outlineLevel="0" collapsed="false">
      <c r="A11" s="90"/>
    </row>
    <row r="12" customFormat="false" ht="15" hidden="false" customHeight="false" outlineLevel="0" collapsed="false">
      <c r="A12" s="90"/>
    </row>
    <row r="13" customFormat="false" ht="15" hidden="false" customHeight="false" outlineLevel="0" collapsed="false">
      <c r="A13" s="90"/>
    </row>
    <row r="14" customFormat="false" ht="15" hidden="false" customHeight="false" outlineLevel="0" collapsed="false">
      <c r="A14" s="90"/>
    </row>
    <row r="15" customFormat="false" ht="15" hidden="false" customHeight="false" outlineLevel="0" collapsed="false">
      <c r="A15" s="90"/>
    </row>
    <row r="16" customFormat="false" ht="15" hidden="false" customHeight="false" outlineLevel="0" collapsed="false">
      <c r="A16" s="90"/>
    </row>
    <row r="17" customFormat="false" ht="15" hidden="false" customHeight="false" outlineLevel="0" collapsed="false">
      <c r="A17" s="90"/>
    </row>
    <row r="18" customFormat="false" ht="15" hidden="false" customHeight="false" outlineLevel="0" collapsed="false">
      <c r="A18" s="90"/>
    </row>
    <row r="19" customFormat="false" ht="15" hidden="false" customHeight="false" outlineLevel="0" collapsed="false">
      <c r="A19" s="90"/>
    </row>
    <row r="20" customFormat="false" ht="15" hidden="false" customHeight="false" outlineLevel="0" collapsed="false">
      <c r="A20" s="90"/>
    </row>
    <row r="21" customFormat="false" ht="15" hidden="false" customHeight="false" outlineLevel="0" collapsed="false">
      <c r="A21" s="90"/>
    </row>
    <row r="22" customFormat="false" ht="15" hidden="false" customHeight="false" outlineLevel="0" collapsed="false">
      <c r="A22" s="90"/>
    </row>
    <row r="23" customFormat="false" ht="15" hidden="false" customHeight="false" outlineLevel="0" collapsed="false">
      <c r="A23" s="90"/>
    </row>
    <row r="24" customFormat="false" ht="15" hidden="false" customHeight="false" outlineLevel="0" collapsed="false">
      <c r="A24" s="90"/>
    </row>
    <row r="25" customFormat="false" ht="15" hidden="false" customHeight="false" outlineLevel="0" collapsed="false">
      <c r="A25" s="90"/>
    </row>
    <row r="26" customFormat="false" ht="15" hidden="false" customHeight="false" outlineLevel="0" collapsed="false">
      <c r="A26" s="90"/>
    </row>
    <row r="27" customFormat="false" ht="15" hidden="false" customHeight="false" outlineLevel="0" collapsed="false">
      <c r="A27" s="90"/>
    </row>
    <row r="28" customFormat="false" ht="15" hidden="false" customHeight="false" outlineLevel="0" collapsed="false">
      <c r="A28" s="90"/>
    </row>
    <row r="29" customFormat="false" ht="15" hidden="false" customHeight="false" outlineLevel="0" collapsed="false">
      <c r="A29" s="90"/>
    </row>
    <row r="30" customFormat="false" ht="15" hidden="false" customHeight="false" outlineLevel="0" collapsed="false">
      <c r="A30" s="90"/>
    </row>
    <row r="31" customFormat="false" ht="15" hidden="false" customHeight="false" outlineLevel="0" collapsed="false">
      <c r="A31" s="90" t="s">
        <v>464</v>
      </c>
    </row>
    <row r="62" customFormat="false" ht="15" hidden="false" customHeight="false" outlineLevel="0" collapsed="false">
      <c r="A62" s="90"/>
    </row>
    <row r="63" customFormat="false" ht="15" hidden="false" customHeight="false" outlineLevel="0" collapsed="false">
      <c r="A63" s="90" t="s">
        <v>465</v>
      </c>
    </row>
    <row r="64" customFormat="false" ht="15" hidden="false" customHeight="false" outlineLevel="0" collapsed="false">
      <c r="A64" s="90"/>
    </row>
    <row r="65" customFormat="false" ht="15" hidden="false" customHeight="false" outlineLevel="0" collapsed="false">
      <c r="A65" s="90"/>
    </row>
    <row r="66" customFormat="false" ht="15" hidden="false" customHeight="false" outlineLevel="0" collapsed="false">
      <c r="A66" s="90"/>
    </row>
    <row r="67" customFormat="false" ht="15" hidden="false" customHeight="false" outlineLevel="0" collapsed="false">
      <c r="A67" s="90"/>
    </row>
    <row r="68" customFormat="false" ht="15" hidden="false" customHeight="false" outlineLevel="0" collapsed="false">
      <c r="A68" s="90"/>
    </row>
    <row r="69" customFormat="false" ht="15" hidden="false" customHeight="false" outlineLevel="0" collapsed="false">
      <c r="A69" s="90"/>
    </row>
    <row r="70" customFormat="false" ht="15" hidden="false" customHeight="false" outlineLevel="0" collapsed="false">
      <c r="A70" s="90"/>
    </row>
    <row r="71" customFormat="false" ht="15" hidden="false" customHeight="false" outlineLevel="0" collapsed="false">
      <c r="A71" s="90"/>
    </row>
    <row r="72" customFormat="false" ht="15" hidden="false" customHeight="false" outlineLevel="0" collapsed="false">
      <c r="A72" s="90"/>
    </row>
    <row r="73" customFormat="false" ht="15" hidden="false" customHeight="false" outlineLevel="0" collapsed="false">
      <c r="A73" s="90"/>
    </row>
    <row r="74" customFormat="false" ht="15" hidden="false" customHeight="false" outlineLevel="0" collapsed="false">
      <c r="A74" s="90"/>
    </row>
    <row r="75" customFormat="false" ht="15" hidden="false" customHeight="false" outlineLevel="0" collapsed="false">
      <c r="A75" s="90"/>
    </row>
    <row r="76" customFormat="false" ht="15" hidden="false" customHeight="false" outlineLevel="0" collapsed="false">
      <c r="A76" s="90"/>
    </row>
    <row r="77" customFormat="false" ht="15" hidden="false" customHeight="false" outlineLevel="0" collapsed="false">
      <c r="A77" s="90"/>
    </row>
    <row r="78" customFormat="false" ht="15" hidden="false" customHeight="false" outlineLevel="0" collapsed="false">
      <c r="A78" s="90"/>
    </row>
    <row r="79" customFormat="false" ht="15" hidden="false" customHeight="false" outlineLevel="0" collapsed="false">
      <c r="A79" s="90"/>
    </row>
    <row r="80" customFormat="false" ht="13.8" hidden="false" customHeight="false" outlineLevel="0" collapsed="false">
      <c r="A80" s="50" t="s">
        <v>84</v>
      </c>
      <c r="B80" s="51"/>
      <c r="C80" s="52"/>
    </row>
    <row r="81" customFormat="false" ht="129.05" hidden="false" customHeight="false" outlineLevel="0" collapsed="false">
      <c r="A81" s="53" t="s">
        <v>466</v>
      </c>
      <c r="B81" s="123" t="s">
        <v>467</v>
      </c>
      <c r="C81" s="1"/>
    </row>
    <row r="82" customFormat="false" ht="82.55" hidden="false" customHeight="false" outlineLevel="0" collapsed="false">
      <c r="A82" s="53" t="s">
        <v>468</v>
      </c>
      <c r="B82" s="123" t="s">
        <v>469</v>
      </c>
      <c r="C82" s="72"/>
    </row>
    <row r="83" customFormat="false" ht="70.9" hidden="false" customHeight="false" outlineLevel="0" collapsed="false">
      <c r="A83" s="53" t="s">
        <v>470</v>
      </c>
      <c r="B83" s="123" t="s">
        <v>471</v>
      </c>
    </row>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drawing r:id="rId1"/>
</worksheet>
</file>

<file path=docProps/app.xml><?xml version="1.0" encoding="utf-8"?>
<Properties xmlns="http://schemas.openxmlformats.org/officeDocument/2006/extended-properties" xmlns:vt="http://schemas.openxmlformats.org/officeDocument/2006/docPropsVTypes">
  <Template/>
  <TotalTime>2959</TotalTime>
  <Application>LibreOffice/7.1.4.2$Linux_X86_64 LibreOffice_project/10$Build-2</Application>
  <AppVersion>15.0000</AppVersion>
  <Company>Microsoft</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2018-04-24T06:01:14Z</dcterms:created>
  <dc:creator>Nathalie Tonné</dc:creator>
  <dc:description/>
  <dc:language>en-GB</dc:language>
  <cp:lastModifiedBy>Menashè Eliezer</cp:lastModifiedBy>
  <cp:lastPrinted>2020-06-15T08:28:46Z</cp:lastPrinted>
  <dcterms:modified xsi:type="dcterms:W3CDTF">2021-07-15T15:43:53Z</dcterms:modified>
  <cp:revision>162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